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Copywriting\ASG\Republishing\"/>
    </mc:Choice>
  </mc:AlternateContent>
  <xr:revisionPtr revIDLastSave="0" documentId="8_{2EC6C29D-8A5B-4975-988C-E6BAECEDE02F}" xr6:coauthVersionLast="47" xr6:coauthVersionMax="47" xr10:uidLastSave="{00000000-0000-0000-0000-000000000000}"/>
  <bookViews>
    <workbookView xWindow="-120" yWindow="-120" windowWidth="29040" windowHeight="15840" firstSheet="1" activeTab="1" xr2:uid="{AA8DCA82-B00B-4B34-AC9C-61B503969415}"/>
  </bookViews>
  <sheets>
    <sheet name="Sheet1" sheetId="1" state="hidden" r:id="rId1"/>
    <sheet name="Med Adv vs Med Sup Calc" sheetId="4" r:id="rId2"/>
    <sheet name="Potential 1st Year Calc" sheetId="2" r:id="rId3"/>
    <sheet name="Adding Cross Selling Calc" sheetId="5" r:id="rId4"/>
    <sheet name="Potential Residuals Calc"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4" i="3" l="1"/>
  <c r="M183" i="3"/>
  <c r="M182" i="3"/>
  <c r="M181" i="3"/>
  <c r="M180" i="3"/>
  <c r="M179" i="3"/>
  <c r="M178" i="3"/>
  <c r="M177" i="3"/>
  <c r="M176" i="3"/>
  <c r="M175" i="3"/>
  <c r="M174" i="3"/>
  <c r="M173" i="3"/>
  <c r="M164" i="3"/>
  <c r="M163" i="3"/>
  <c r="M162" i="3"/>
  <c r="M161" i="3"/>
  <c r="M160" i="3"/>
  <c r="M159" i="3"/>
  <c r="M158" i="3"/>
  <c r="M157" i="3"/>
  <c r="M156" i="3"/>
  <c r="M155" i="3"/>
  <c r="M154" i="3"/>
  <c r="M153" i="3"/>
  <c r="M144" i="3"/>
  <c r="M143" i="3"/>
  <c r="M142" i="3"/>
  <c r="M141" i="3"/>
  <c r="M140" i="3"/>
  <c r="M139" i="3"/>
  <c r="M138" i="3"/>
  <c r="M137" i="3"/>
  <c r="M136" i="3"/>
  <c r="M135" i="3"/>
  <c r="M134" i="3"/>
  <c r="M133" i="3"/>
  <c r="M124" i="3"/>
  <c r="M123" i="3"/>
  <c r="M122" i="3"/>
  <c r="M121" i="3"/>
  <c r="M120" i="3"/>
  <c r="M119" i="3"/>
  <c r="M118" i="3"/>
  <c r="M117" i="3"/>
  <c r="M116" i="3"/>
  <c r="M115" i="3"/>
  <c r="M114" i="3"/>
  <c r="M113" i="3"/>
  <c r="M104" i="3"/>
  <c r="M103" i="3"/>
  <c r="M102" i="3"/>
  <c r="M101" i="3"/>
  <c r="M100" i="3"/>
  <c r="M99" i="3"/>
  <c r="M98" i="3"/>
  <c r="M97" i="3"/>
  <c r="M96" i="3"/>
  <c r="M95" i="3"/>
  <c r="M94" i="3"/>
  <c r="M93" i="3"/>
  <c r="M84" i="3"/>
  <c r="M83" i="3"/>
  <c r="M82" i="3"/>
  <c r="M81" i="3"/>
  <c r="M80" i="3"/>
  <c r="M79" i="3"/>
  <c r="M78" i="3"/>
  <c r="M77" i="3"/>
  <c r="M76" i="3"/>
  <c r="M75" i="3"/>
  <c r="M74" i="3"/>
  <c r="M73" i="3"/>
  <c r="M64" i="3"/>
  <c r="M63" i="3"/>
  <c r="M62" i="3"/>
  <c r="M61" i="3"/>
  <c r="M60" i="3"/>
  <c r="M59" i="3"/>
  <c r="M58" i="3"/>
  <c r="M57" i="3"/>
  <c r="M56" i="3"/>
  <c r="M55" i="3"/>
  <c r="M54" i="3"/>
  <c r="M53" i="3"/>
  <c r="M44" i="3"/>
  <c r="M43" i="3"/>
  <c r="M42" i="3"/>
  <c r="M41" i="3"/>
  <c r="M40" i="3"/>
  <c r="M39" i="3"/>
  <c r="M38" i="3"/>
  <c r="M37" i="3"/>
  <c r="M36" i="3"/>
  <c r="M35" i="3"/>
  <c r="M34" i="3"/>
  <c r="M33" i="3"/>
  <c r="M24" i="3"/>
  <c r="M23" i="3"/>
  <c r="M22" i="3"/>
  <c r="M21" i="3"/>
  <c r="M20" i="3"/>
  <c r="M19" i="3"/>
  <c r="M18" i="3"/>
  <c r="M17" i="3"/>
  <c r="M16" i="3"/>
  <c r="M15" i="3"/>
  <c r="M14" i="3"/>
  <c r="M13" i="3"/>
  <c r="F184" i="3"/>
  <c r="F183" i="3"/>
  <c r="F182" i="3"/>
  <c r="F181" i="3"/>
  <c r="F180" i="3"/>
  <c r="F179" i="3"/>
  <c r="F178" i="3"/>
  <c r="F177" i="3"/>
  <c r="F176" i="3"/>
  <c r="F175" i="3"/>
  <c r="F174" i="3"/>
  <c r="F164" i="3"/>
  <c r="F163" i="3"/>
  <c r="F162" i="3"/>
  <c r="F161" i="3"/>
  <c r="F160" i="3"/>
  <c r="F159" i="3"/>
  <c r="F158" i="3"/>
  <c r="F157" i="3"/>
  <c r="F156" i="3"/>
  <c r="F155" i="3"/>
  <c r="F154" i="3"/>
  <c r="F144" i="3"/>
  <c r="F143" i="3"/>
  <c r="F142" i="3"/>
  <c r="F141" i="3"/>
  <c r="F140" i="3"/>
  <c r="F139" i="3"/>
  <c r="F138" i="3"/>
  <c r="F137" i="3"/>
  <c r="F136" i="3"/>
  <c r="F135" i="3"/>
  <c r="F134" i="3"/>
  <c r="F124" i="3"/>
  <c r="F123" i="3"/>
  <c r="F122" i="3"/>
  <c r="F121" i="3"/>
  <c r="F120" i="3"/>
  <c r="F119" i="3"/>
  <c r="F118" i="3"/>
  <c r="F117" i="3"/>
  <c r="F116" i="3"/>
  <c r="F115" i="3"/>
  <c r="F114" i="3"/>
  <c r="F104" i="3"/>
  <c r="F103" i="3"/>
  <c r="F102" i="3"/>
  <c r="F101" i="3"/>
  <c r="F100" i="3"/>
  <c r="F99" i="3"/>
  <c r="F98" i="3"/>
  <c r="F97" i="3"/>
  <c r="F96" i="3"/>
  <c r="F95" i="3"/>
  <c r="F94" i="3"/>
  <c r="F84" i="3"/>
  <c r="F83" i="3"/>
  <c r="F82" i="3"/>
  <c r="F81" i="3"/>
  <c r="F80" i="3"/>
  <c r="F79" i="3"/>
  <c r="F78" i="3"/>
  <c r="F77" i="3"/>
  <c r="F76" i="3"/>
  <c r="F75" i="3"/>
  <c r="F74" i="3"/>
  <c r="F64" i="3"/>
  <c r="F63" i="3"/>
  <c r="F62" i="3"/>
  <c r="F61" i="3"/>
  <c r="F60" i="3"/>
  <c r="F59" i="3"/>
  <c r="F58" i="3"/>
  <c r="F57" i="3"/>
  <c r="F56" i="3"/>
  <c r="F55" i="3"/>
  <c r="F54" i="3"/>
  <c r="F44" i="3"/>
  <c r="F43" i="3"/>
  <c r="F42" i="3"/>
  <c r="F41" i="3"/>
  <c r="F40" i="3"/>
  <c r="F39" i="3"/>
  <c r="F38" i="3"/>
  <c r="F37" i="3"/>
  <c r="F36" i="3"/>
  <c r="F35" i="3"/>
  <c r="F34" i="3"/>
  <c r="F24" i="3"/>
  <c r="F23" i="3"/>
  <c r="F22" i="3"/>
  <c r="F21" i="3"/>
  <c r="F20" i="3"/>
  <c r="F19" i="3"/>
  <c r="F18" i="3"/>
  <c r="F17" i="3"/>
  <c r="F16" i="3"/>
  <c r="F15" i="3"/>
  <c r="F14" i="3"/>
  <c r="F15" i="2"/>
  <c r="K20" i="5"/>
  <c r="C20" i="5"/>
  <c r="N15" i="5"/>
  <c r="F15" i="5"/>
  <c r="N15" i="4"/>
  <c r="F15" i="4"/>
  <c r="K20" i="4"/>
  <c r="C20" i="4"/>
  <c r="K20" i="2"/>
  <c r="C20" i="2"/>
  <c r="N15" i="2"/>
  <c r="J53" i="3" l="1"/>
  <c r="J73" i="3" s="1"/>
  <c r="J93" i="3" s="1"/>
  <c r="J113" i="3" s="1"/>
  <c r="J133" i="3" s="1"/>
  <c r="J153" i="3" s="1"/>
  <c r="J173" i="3" s="1"/>
  <c r="J34" i="3"/>
  <c r="J54" i="3" s="1"/>
  <c r="J74" i="3" s="1"/>
  <c r="J94" i="3" s="1"/>
  <c r="J114" i="3" s="1"/>
  <c r="J134" i="3" s="1"/>
  <c r="J154" i="3" s="1"/>
  <c r="J174" i="3" s="1"/>
  <c r="J33" i="3"/>
  <c r="J15" i="3"/>
  <c r="J14" i="3"/>
  <c r="J13" i="3"/>
  <c r="C14" i="3"/>
  <c r="C34" i="3" s="1"/>
  <c r="C54" i="3" s="1"/>
  <c r="C74" i="3" s="1"/>
  <c r="C94" i="3" s="1"/>
  <c r="C114" i="3" s="1"/>
  <c r="C134" i="3" s="1"/>
  <c r="C154" i="3" s="1"/>
  <c r="C174" i="3" s="1"/>
  <c r="C13" i="3"/>
  <c r="C33" i="3" s="1"/>
  <c r="C53" i="3" s="1"/>
  <c r="C73" i="3" s="1"/>
  <c r="C93" i="3" s="1"/>
  <c r="C113" i="3" s="1"/>
  <c r="C133" i="3" s="1"/>
  <c r="C153" i="3" s="1"/>
  <c r="C173" i="3" s="1"/>
  <c r="J16" i="3" l="1"/>
  <c r="J35" i="3"/>
  <c r="J55" i="3" s="1"/>
  <c r="J75" i="3" s="1"/>
  <c r="J95" i="3" s="1"/>
  <c r="J115" i="3" s="1"/>
  <c r="J135" i="3" s="1"/>
  <c r="J155" i="3" s="1"/>
  <c r="J175" i="3" s="1"/>
  <c r="C15" i="3"/>
  <c r="C35" i="3" l="1"/>
  <c r="C55" i="3" s="1"/>
  <c r="C75" i="3" s="1"/>
  <c r="C95" i="3" s="1"/>
  <c r="C115" i="3" s="1"/>
  <c r="C135" i="3" s="1"/>
  <c r="C155" i="3" s="1"/>
  <c r="C175" i="3" s="1"/>
  <c r="C16" i="3"/>
  <c r="J36" i="3"/>
  <c r="J56" i="3" s="1"/>
  <c r="J76" i="3" s="1"/>
  <c r="J96" i="3" s="1"/>
  <c r="J116" i="3" s="1"/>
  <c r="J136" i="3" s="1"/>
  <c r="J156" i="3" s="1"/>
  <c r="J176" i="3" s="1"/>
  <c r="J17" i="3"/>
  <c r="C17" i="3" l="1"/>
  <c r="C36" i="3"/>
  <c r="C56" i="3" s="1"/>
  <c r="C76" i="3" s="1"/>
  <c r="C96" i="3" s="1"/>
  <c r="C116" i="3" s="1"/>
  <c r="C136" i="3" s="1"/>
  <c r="C156" i="3" s="1"/>
  <c r="C176" i="3" s="1"/>
  <c r="J18" i="3"/>
  <c r="J37" i="3"/>
  <c r="J57" i="3" s="1"/>
  <c r="J77" i="3" s="1"/>
  <c r="J97" i="3" s="1"/>
  <c r="J117" i="3" s="1"/>
  <c r="J137" i="3" s="1"/>
  <c r="J157" i="3" s="1"/>
  <c r="J177" i="3" s="1"/>
  <c r="J19" i="3" l="1"/>
  <c r="J38" i="3"/>
  <c r="J58" i="3" s="1"/>
  <c r="J78" i="3" s="1"/>
  <c r="J98" i="3" s="1"/>
  <c r="J118" i="3" s="1"/>
  <c r="J138" i="3" s="1"/>
  <c r="J158" i="3" s="1"/>
  <c r="J178" i="3" s="1"/>
  <c r="C18" i="3"/>
  <c r="C37" i="3"/>
  <c r="C57" i="3" s="1"/>
  <c r="C77" i="3" s="1"/>
  <c r="C97" i="3" s="1"/>
  <c r="C117" i="3" s="1"/>
  <c r="C137" i="3" s="1"/>
  <c r="C157" i="3" s="1"/>
  <c r="C177" i="3" s="1"/>
  <c r="C19" i="3" l="1"/>
  <c r="C38" i="3"/>
  <c r="C58" i="3" s="1"/>
  <c r="C78" i="3" s="1"/>
  <c r="C98" i="3" s="1"/>
  <c r="C118" i="3" s="1"/>
  <c r="C138" i="3" s="1"/>
  <c r="C158" i="3" s="1"/>
  <c r="C178" i="3" s="1"/>
  <c r="J20" i="3"/>
  <c r="J39" i="3"/>
  <c r="J59" i="3" s="1"/>
  <c r="J79" i="3" s="1"/>
  <c r="J99" i="3" s="1"/>
  <c r="J119" i="3" s="1"/>
  <c r="J139" i="3" s="1"/>
  <c r="J159" i="3" s="1"/>
  <c r="J179" i="3" s="1"/>
  <c r="J21" i="3" l="1"/>
  <c r="J40" i="3"/>
  <c r="J60" i="3" s="1"/>
  <c r="J80" i="3" s="1"/>
  <c r="J100" i="3" s="1"/>
  <c r="J120" i="3" s="1"/>
  <c r="J140" i="3" s="1"/>
  <c r="J160" i="3" s="1"/>
  <c r="J180" i="3" s="1"/>
  <c r="C20" i="3"/>
  <c r="C39" i="3"/>
  <c r="C59" i="3" s="1"/>
  <c r="C79" i="3" s="1"/>
  <c r="C99" i="3" s="1"/>
  <c r="C119" i="3" s="1"/>
  <c r="C139" i="3" s="1"/>
  <c r="C159" i="3" s="1"/>
  <c r="C179" i="3" s="1"/>
  <c r="C21" i="3" l="1"/>
  <c r="C40" i="3"/>
  <c r="C60" i="3" s="1"/>
  <c r="C80" i="3" s="1"/>
  <c r="C100" i="3" s="1"/>
  <c r="C120" i="3" s="1"/>
  <c r="C140" i="3" s="1"/>
  <c r="C160" i="3" s="1"/>
  <c r="C180" i="3" s="1"/>
  <c r="J22" i="3"/>
  <c r="J41" i="3"/>
  <c r="J61" i="3" s="1"/>
  <c r="J81" i="3" s="1"/>
  <c r="J101" i="3" s="1"/>
  <c r="J121" i="3" s="1"/>
  <c r="J141" i="3" s="1"/>
  <c r="J161" i="3" s="1"/>
  <c r="J181" i="3" s="1"/>
  <c r="K180" i="3"/>
  <c r="D180" i="3"/>
  <c r="K179" i="3"/>
  <c r="D179" i="3"/>
  <c r="K178" i="3"/>
  <c r="D178" i="3"/>
  <c r="K177" i="3"/>
  <c r="D177" i="3"/>
  <c r="K176" i="3"/>
  <c r="D176" i="3"/>
  <c r="K175" i="3"/>
  <c r="D175" i="3"/>
  <c r="K174" i="3"/>
  <c r="D174" i="3"/>
  <c r="K173" i="3"/>
  <c r="D173" i="3"/>
  <c r="K161" i="3"/>
  <c r="K160" i="3"/>
  <c r="D160" i="3"/>
  <c r="K159" i="3"/>
  <c r="D159" i="3"/>
  <c r="K158" i="3"/>
  <c r="D158" i="3"/>
  <c r="K157" i="3"/>
  <c r="D157" i="3"/>
  <c r="K156" i="3"/>
  <c r="D156" i="3"/>
  <c r="K155" i="3"/>
  <c r="D155" i="3"/>
  <c r="K154" i="3"/>
  <c r="D154" i="3"/>
  <c r="K153" i="3"/>
  <c r="D153" i="3"/>
  <c r="K140" i="3"/>
  <c r="D140" i="3"/>
  <c r="K139" i="3"/>
  <c r="D139" i="3"/>
  <c r="K138" i="3"/>
  <c r="D138" i="3"/>
  <c r="K137" i="3"/>
  <c r="D137" i="3"/>
  <c r="K136" i="3"/>
  <c r="D136" i="3"/>
  <c r="K135" i="3"/>
  <c r="D135" i="3"/>
  <c r="K134" i="3"/>
  <c r="D134" i="3"/>
  <c r="K133" i="3"/>
  <c r="D133" i="3"/>
  <c r="K121" i="3"/>
  <c r="K120" i="3"/>
  <c r="D120" i="3"/>
  <c r="K119" i="3"/>
  <c r="D119" i="3"/>
  <c r="K118" i="3"/>
  <c r="D118" i="3"/>
  <c r="K117" i="3"/>
  <c r="D117" i="3"/>
  <c r="K116" i="3"/>
  <c r="D116" i="3"/>
  <c r="K115" i="3"/>
  <c r="D115" i="3"/>
  <c r="K114" i="3"/>
  <c r="D114" i="3"/>
  <c r="K113" i="3"/>
  <c r="D113" i="3"/>
  <c r="K100" i="3"/>
  <c r="D100" i="3"/>
  <c r="K99" i="3"/>
  <c r="D99" i="3"/>
  <c r="K98" i="3"/>
  <c r="D98" i="3"/>
  <c r="K97" i="3"/>
  <c r="D97" i="3"/>
  <c r="K96" i="3"/>
  <c r="D96" i="3"/>
  <c r="K95" i="3"/>
  <c r="D95" i="3"/>
  <c r="K94" i="3"/>
  <c r="D94" i="3"/>
  <c r="K93" i="3"/>
  <c r="D93" i="3"/>
  <c r="K81" i="3"/>
  <c r="K80" i="3"/>
  <c r="D80" i="3"/>
  <c r="K79" i="3"/>
  <c r="D79" i="3"/>
  <c r="K78" i="3"/>
  <c r="D78" i="3"/>
  <c r="K77" i="3"/>
  <c r="D77" i="3"/>
  <c r="K76" i="3"/>
  <c r="D76" i="3"/>
  <c r="K75" i="3"/>
  <c r="D75" i="3"/>
  <c r="K74" i="3"/>
  <c r="D74" i="3"/>
  <c r="K73" i="3"/>
  <c r="D73" i="3"/>
  <c r="K60" i="3"/>
  <c r="D60" i="3"/>
  <c r="K59" i="3"/>
  <c r="D59" i="3"/>
  <c r="K58" i="3"/>
  <c r="D58" i="3"/>
  <c r="K57" i="3"/>
  <c r="D57" i="3"/>
  <c r="K56" i="3"/>
  <c r="D56" i="3"/>
  <c r="K55" i="3"/>
  <c r="D55" i="3"/>
  <c r="K54" i="3"/>
  <c r="D54" i="3"/>
  <c r="K53" i="3"/>
  <c r="D53" i="3"/>
  <c r="K40" i="3"/>
  <c r="D40" i="3"/>
  <c r="K39" i="3"/>
  <c r="D39" i="3"/>
  <c r="K38" i="3"/>
  <c r="D38" i="3"/>
  <c r="K37" i="3"/>
  <c r="D37" i="3"/>
  <c r="K36" i="3"/>
  <c r="D36" i="3"/>
  <c r="K35" i="3"/>
  <c r="D35" i="3"/>
  <c r="K34" i="3"/>
  <c r="D34" i="3"/>
  <c r="K33" i="3"/>
  <c r="D33" i="3"/>
  <c r="K22" i="3"/>
  <c r="K21" i="3"/>
  <c r="D21" i="3"/>
  <c r="K20" i="3"/>
  <c r="D20" i="3"/>
  <c r="K19" i="3"/>
  <c r="D19" i="3"/>
  <c r="K18" i="3"/>
  <c r="D18" i="3"/>
  <c r="K17" i="3"/>
  <c r="D17" i="3"/>
  <c r="K16" i="3"/>
  <c r="D16" i="3"/>
  <c r="K15" i="3"/>
  <c r="D15" i="3"/>
  <c r="K14" i="3"/>
  <c r="D14" i="3"/>
  <c r="K13" i="3"/>
  <c r="D13" i="3"/>
  <c r="D22" i="3" l="1"/>
  <c r="K41" i="3"/>
  <c r="K101" i="3"/>
  <c r="J23" i="3"/>
  <c r="J42" i="3"/>
  <c r="J62" i="3" s="1"/>
  <c r="J82" i="3" s="1"/>
  <c r="J102" i="3" s="1"/>
  <c r="K62" i="3"/>
  <c r="K82" i="3"/>
  <c r="K141" i="3"/>
  <c r="K181" i="3"/>
  <c r="K42" i="3"/>
  <c r="K61" i="3"/>
  <c r="C41" i="3"/>
  <c r="D41" i="3" s="1"/>
  <c r="C22" i="3"/>
  <c r="B18" i="1"/>
  <c r="J24" i="3" l="1"/>
  <c r="J43" i="3"/>
  <c r="K23" i="3"/>
  <c r="C61" i="3"/>
  <c r="C23" i="3"/>
  <c r="C42" i="3"/>
  <c r="J122" i="3"/>
  <c r="K102" i="3"/>
  <c r="B16" i="1"/>
  <c r="B17" i="1"/>
  <c r="B15" i="1"/>
  <c r="B14" i="1"/>
  <c r="B13" i="1"/>
  <c r="B12" i="1"/>
  <c r="B11" i="1"/>
  <c r="B10" i="1"/>
  <c r="J63" i="3" l="1"/>
  <c r="K43" i="3"/>
  <c r="C81" i="3"/>
  <c r="D61" i="3"/>
  <c r="J44" i="3"/>
  <c r="K24" i="3"/>
  <c r="K25" i="3" s="1"/>
  <c r="K26" i="3" s="1"/>
  <c r="C62" i="3"/>
  <c r="D42" i="3"/>
  <c r="J25" i="3"/>
  <c r="J142" i="3"/>
  <c r="K122" i="3"/>
  <c r="C24" i="3"/>
  <c r="C43" i="3"/>
  <c r="D23" i="3"/>
  <c r="J162" i="3" l="1"/>
  <c r="K142" i="3"/>
  <c r="C101" i="3"/>
  <c r="D81" i="3"/>
  <c r="L33" i="3"/>
  <c r="J64" i="3"/>
  <c r="K44" i="3"/>
  <c r="K45" i="3" s="1"/>
  <c r="C44" i="3"/>
  <c r="D24" i="3"/>
  <c r="D25" i="3" s="1"/>
  <c r="D26" i="3" s="1"/>
  <c r="C25" i="3"/>
  <c r="J45" i="3"/>
  <c r="L53" i="3" s="1"/>
  <c r="L54" i="3" s="1"/>
  <c r="L55" i="3" s="1"/>
  <c r="L56" i="3" s="1"/>
  <c r="L57" i="3" s="1"/>
  <c r="L58" i="3" s="1"/>
  <c r="L59" i="3" s="1"/>
  <c r="L60" i="3" s="1"/>
  <c r="L61" i="3" s="1"/>
  <c r="L62" i="3" s="1"/>
  <c r="L63" i="3" s="1"/>
  <c r="L64" i="3" s="1"/>
  <c r="L65" i="3" s="1"/>
  <c r="C63" i="3"/>
  <c r="D43" i="3"/>
  <c r="C45" i="3"/>
  <c r="C82" i="3"/>
  <c r="D62" i="3"/>
  <c r="J83" i="3"/>
  <c r="K63" i="3"/>
  <c r="C102" i="3" l="1"/>
  <c r="D82" i="3"/>
  <c r="E53" i="3"/>
  <c r="E33" i="3"/>
  <c r="C121" i="3"/>
  <c r="D101" i="3"/>
  <c r="J103" i="3"/>
  <c r="K83" i="3"/>
  <c r="L34" i="3"/>
  <c r="L35" i="3" s="1"/>
  <c r="L36" i="3" s="1"/>
  <c r="L37" i="3" s="1"/>
  <c r="L38" i="3" s="1"/>
  <c r="L39" i="3" s="1"/>
  <c r="L40" i="3" s="1"/>
  <c r="L41" i="3" s="1"/>
  <c r="L42" i="3" s="1"/>
  <c r="L43" i="3" s="1"/>
  <c r="L44" i="3" s="1"/>
  <c r="L45" i="3"/>
  <c r="K46" i="3" s="1"/>
  <c r="C64" i="3"/>
  <c r="D44" i="3"/>
  <c r="D45" i="3" s="1"/>
  <c r="J84" i="3"/>
  <c r="J85" i="3" s="1"/>
  <c r="K64" i="3"/>
  <c r="K65" i="3" s="1"/>
  <c r="K66" i="3" s="1"/>
  <c r="J65" i="3"/>
  <c r="C83" i="3"/>
  <c r="D63" i="3"/>
  <c r="J182" i="3"/>
  <c r="K162" i="3"/>
  <c r="K182" i="3" l="1"/>
  <c r="C103" i="3"/>
  <c r="D83" i="3"/>
  <c r="J123" i="3"/>
  <c r="K103" i="3"/>
  <c r="L73" i="3"/>
  <c r="C84" i="3"/>
  <c r="D64" i="3"/>
  <c r="C65" i="3"/>
  <c r="E54" i="3"/>
  <c r="E55" i="3" s="1"/>
  <c r="E56" i="3" s="1"/>
  <c r="E57" i="3" s="1"/>
  <c r="E58" i="3" s="1"/>
  <c r="E59" i="3" s="1"/>
  <c r="E60" i="3" s="1"/>
  <c r="E61" i="3" s="1"/>
  <c r="E62" i="3" s="1"/>
  <c r="E63" i="3" s="1"/>
  <c r="E64" i="3" s="1"/>
  <c r="E34" i="3"/>
  <c r="E35" i="3" s="1"/>
  <c r="E36" i="3" s="1"/>
  <c r="E37" i="3" s="1"/>
  <c r="E38" i="3" s="1"/>
  <c r="E39" i="3" s="1"/>
  <c r="E40" i="3" s="1"/>
  <c r="E41" i="3" s="1"/>
  <c r="E42" i="3" s="1"/>
  <c r="E43" i="3" s="1"/>
  <c r="E44" i="3" s="1"/>
  <c r="E45" i="3"/>
  <c r="D46" i="3" s="1"/>
  <c r="C122" i="3"/>
  <c r="D102" i="3"/>
  <c r="C85" i="3"/>
  <c r="D65" i="3"/>
  <c r="J104" i="3"/>
  <c r="J105" i="3" s="1"/>
  <c r="K84" i="3"/>
  <c r="K85" i="3" s="1"/>
  <c r="C141" i="3"/>
  <c r="D121" i="3"/>
  <c r="L113" i="3" l="1"/>
  <c r="C142" i="3"/>
  <c r="D122" i="3"/>
  <c r="E113" i="3"/>
  <c r="E93" i="3"/>
  <c r="L93" i="3"/>
  <c r="E73" i="3"/>
  <c r="C123" i="3"/>
  <c r="D103" i="3"/>
  <c r="C105" i="3"/>
  <c r="J143" i="3"/>
  <c r="K123" i="3"/>
  <c r="J124" i="3"/>
  <c r="K104" i="3"/>
  <c r="K105" i="3" s="1"/>
  <c r="C161" i="3"/>
  <c r="D141" i="3"/>
  <c r="E65" i="3"/>
  <c r="D66" i="3" s="1"/>
  <c r="C104" i="3"/>
  <c r="D84" i="3"/>
  <c r="D85" i="3" s="1"/>
  <c r="L74" i="3"/>
  <c r="L75" i="3" s="1"/>
  <c r="L76" i="3" s="1"/>
  <c r="L77" i="3" s="1"/>
  <c r="L78" i="3" s="1"/>
  <c r="L79" i="3" s="1"/>
  <c r="L80" i="3" s="1"/>
  <c r="L81" i="3" s="1"/>
  <c r="L82" i="3" s="1"/>
  <c r="L83" i="3" s="1"/>
  <c r="L84" i="3" s="1"/>
  <c r="J144" i="3" l="1"/>
  <c r="K124" i="3"/>
  <c r="E114" i="3"/>
  <c r="E115" i="3" s="1"/>
  <c r="E116" i="3" s="1"/>
  <c r="E117" i="3" s="1"/>
  <c r="E118" i="3" s="1"/>
  <c r="E119" i="3" s="1"/>
  <c r="E120" i="3" s="1"/>
  <c r="E121" i="3" s="1"/>
  <c r="E122" i="3" s="1"/>
  <c r="E123" i="3" s="1"/>
  <c r="E124" i="3" s="1"/>
  <c r="J125" i="3"/>
  <c r="C162" i="3"/>
  <c r="D142" i="3"/>
  <c r="J163" i="3"/>
  <c r="K143" i="3"/>
  <c r="L94" i="3"/>
  <c r="L95" i="3" s="1"/>
  <c r="L96" i="3" s="1"/>
  <c r="L97" i="3" s="1"/>
  <c r="L98" i="3" s="1"/>
  <c r="L99" i="3" s="1"/>
  <c r="L100" i="3" s="1"/>
  <c r="L101" i="3" s="1"/>
  <c r="L102" i="3" s="1"/>
  <c r="L103" i="3" s="1"/>
  <c r="L104" i="3" s="1"/>
  <c r="L105" i="3"/>
  <c r="K106" i="3" s="1"/>
  <c r="L114" i="3"/>
  <c r="L115" i="3" s="1"/>
  <c r="L116" i="3" s="1"/>
  <c r="L117" i="3" s="1"/>
  <c r="L118" i="3" s="1"/>
  <c r="L119" i="3" s="1"/>
  <c r="L120" i="3" s="1"/>
  <c r="L121" i="3" s="1"/>
  <c r="L122" i="3" s="1"/>
  <c r="L123" i="3" s="1"/>
  <c r="L124" i="3" s="1"/>
  <c r="L125" i="3"/>
  <c r="C124" i="3"/>
  <c r="D104" i="3"/>
  <c r="D105" i="3" s="1"/>
  <c r="C181" i="3"/>
  <c r="D161" i="3"/>
  <c r="L85" i="3"/>
  <c r="K86" i="3" s="1"/>
  <c r="K125" i="3"/>
  <c r="C143" i="3"/>
  <c r="D123" i="3"/>
  <c r="E74" i="3"/>
  <c r="E75" i="3" s="1"/>
  <c r="E76" i="3" s="1"/>
  <c r="E77" i="3" s="1"/>
  <c r="E78" i="3" s="1"/>
  <c r="E79" i="3" s="1"/>
  <c r="E80" i="3" s="1"/>
  <c r="E81" i="3" s="1"/>
  <c r="E82" i="3" s="1"/>
  <c r="E83" i="3" s="1"/>
  <c r="E84" i="3" s="1"/>
  <c r="E94" i="3"/>
  <c r="E95" i="3" s="1"/>
  <c r="E96" i="3" s="1"/>
  <c r="E97" i="3" s="1"/>
  <c r="E98" i="3" s="1"/>
  <c r="E99" i="3" s="1"/>
  <c r="E100" i="3" s="1"/>
  <c r="E101" i="3" s="1"/>
  <c r="E102" i="3" s="1"/>
  <c r="E103" i="3" s="1"/>
  <c r="E104" i="3" s="1"/>
  <c r="L133" i="3" l="1"/>
  <c r="J164" i="3"/>
  <c r="K144" i="3"/>
  <c r="K145" i="3" s="1"/>
  <c r="E85" i="3"/>
  <c r="D86" i="3" s="1"/>
  <c r="C163" i="3"/>
  <c r="D143" i="3"/>
  <c r="E125" i="3"/>
  <c r="D125" i="3"/>
  <c r="D181" i="3"/>
  <c r="K126" i="3"/>
  <c r="J145" i="3"/>
  <c r="L153" i="3" s="1"/>
  <c r="C182" i="3"/>
  <c r="D182" i="3" s="1"/>
  <c r="D162" i="3"/>
  <c r="C144" i="3"/>
  <c r="D124" i="3"/>
  <c r="J183" i="3"/>
  <c r="K163" i="3"/>
  <c r="J165" i="3"/>
  <c r="E105" i="3"/>
  <c r="D106" i="3" s="1"/>
  <c r="C125" i="3"/>
  <c r="L154" i="3" l="1"/>
  <c r="L155" i="3" s="1"/>
  <c r="L156" i="3" s="1"/>
  <c r="L157" i="3" s="1"/>
  <c r="L158" i="3" s="1"/>
  <c r="L159" i="3" s="1"/>
  <c r="L160" i="3" s="1"/>
  <c r="L161" i="3" s="1"/>
  <c r="L162" i="3" s="1"/>
  <c r="L163" i="3" s="1"/>
  <c r="L164" i="3" s="1"/>
  <c r="L165" i="3"/>
  <c r="C164" i="3"/>
  <c r="D144" i="3"/>
  <c r="D145" i="3" s="1"/>
  <c r="C183" i="3"/>
  <c r="D183" i="3" s="1"/>
  <c r="D163" i="3"/>
  <c r="C165" i="3"/>
  <c r="L134" i="3"/>
  <c r="L135" i="3" s="1"/>
  <c r="L136" i="3" s="1"/>
  <c r="L137" i="3" s="1"/>
  <c r="L138" i="3" s="1"/>
  <c r="L139" i="3" s="1"/>
  <c r="L140" i="3" s="1"/>
  <c r="L141" i="3" s="1"/>
  <c r="L142" i="3" s="1"/>
  <c r="L143" i="3" s="1"/>
  <c r="L144" i="3" s="1"/>
  <c r="L173" i="3"/>
  <c r="E153" i="3"/>
  <c r="E133" i="3"/>
  <c r="K183" i="3"/>
  <c r="J185" i="3"/>
  <c r="C145" i="3"/>
  <c r="E173" i="3" s="1"/>
  <c r="D126" i="3"/>
  <c r="J184" i="3"/>
  <c r="K184" i="3" s="1"/>
  <c r="K164" i="3"/>
  <c r="K165" i="3" s="1"/>
  <c r="K185" i="3" l="1"/>
  <c r="E174" i="3"/>
  <c r="E175" i="3" s="1"/>
  <c r="E176" i="3" s="1"/>
  <c r="E177" i="3" s="1"/>
  <c r="E178" i="3" s="1"/>
  <c r="E179" i="3" s="1"/>
  <c r="E180" i="3" s="1"/>
  <c r="E181" i="3" s="1"/>
  <c r="E182" i="3" s="1"/>
  <c r="E183" i="3" s="1"/>
  <c r="E184" i="3" s="1"/>
  <c r="E185" i="3"/>
  <c r="E154" i="3"/>
  <c r="E155" i="3" s="1"/>
  <c r="E156" i="3" s="1"/>
  <c r="E157" i="3" s="1"/>
  <c r="E158" i="3" s="1"/>
  <c r="E159" i="3" s="1"/>
  <c r="E160" i="3" s="1"/>
  <c r="E161" i="3" s="1"/>
  <c r="E162" i="3" s="1"/>
  <c r="E163" i="3" s="1"/>
  <c r="E164" i="3" s="1"/>
  <c r="E165" i="3"/>
  <c r="C184" i="3"/>
  <c r="D164" i="3"/>
  <c r="D165" i="3"/>
  <c r="K166" i="3"/>
  <c r="L174" i="3"/>
  <c r="L175" i="3" s="1"/>
  <c r="L176" i="3" s="1"/>
  <c r="L177" i="3" s="1"/>
  <c r="L178" i="3" s="1"/>
  <c r="L179" i="3" s="1"/>
  <c r="L180" i="3" s="1"/>
  <c r="L181" i="3" s="1"/>
  <c r="L182" i="3" s="1"/>
  <c r="L183" i="3" s="1"/>
  <c r="L184" i="3" s="1"/>
  <c r="L185" i="3"/>
  <c r="K186" i="3" s="1"/>
  <c r="L145" i="3"/>
  <c r="K146" i="3" s="1"/>
  <c r="E134" i="3"/>
  <c r="E135" i="3" s="1"/>
  <c r="E136" i="3" s="1"/>
  <c r="E137" i="3" s="1"/>
  <c r="E138" i="3" s="1"/>
  <c r="E139" i="3" s="1"/>
  <c r="E140" i="3" s="1"/>
  <c r="E141" i="3" s="1"/>
  <c r="E142" i="3" s="1"/>
  <c r="E143" i="3" s="1"/>
  <c r="E144" i="3" s="1"/>
  <c r="D166" i="3" l="1"/>
  <c r="E145" i="3"/>
  <c r="D146" i="3" s="1"/>
  <c r="D184" i="3"/>
  <c r="D185" i="3" s="1"/>
  <c r="D186" i="3" s="1"/>
  <c r="C185" i="3"/>
</calcChain>
</file>

<file path=xl/sharedStrings.xml><?xml version="1.0" encoding="utf-8"?>
<sst xmlns="http://schemas.openxmlformats.org/spreadsheetml/2006/main" count="513" uniqueCount="136">
  <si>
    <t>Sale Possibilities</t>
  </si>
  <si>
    <t>PDP - Initial</t>
  </si>
  <si>
    <t>PDP - Replacement</t>
  </si>
  <si>
    <t>Med Sup - Underwritten/OEP</t>
  </si>
  <si>
    <t>MAPD - Initial</t>
  </si>
  <si>
    <t>MAPD - Replacement</t>
  </si>
  <si>
    <t>Sale Combination Possibilities</t>
  </si>
  <si>
    <t>Initial PDP Sale</t>
  </si>
  <si>
    <t>Replacement PDP Sale</t>
  </si>
  <si>
    <t>Med Sup + Initial PDP Sale</t>
  </si>
  <si>
    <t>Med Sup + Replacement PDP Sale</t>
  </si>
  <si>
    <t>Initial MAPD Sale</t>
  </si>
  <si>
    <t>Replacement MAPD Sale</t>
  </si>
  <si>
    <t>Initial MSA + PDP Sale</t>
  </si>
  <si>
    <t>Initial MSA + Replacement PDP Sale</t>
  </si>
  <si>
    <t>Replacement MSA + Initial PDP Sale</t>
  </si>
  <si>
    <t>Potential Cross Selling Addition Medicare Commission Calculator</t>
  </si>
  <si>
    <t>Directions: To use this calculator, enter the number of Medicare Advantage clients that you have in the yellow field below on the left. The potential 1st year commission in cross-selling products will automatically calculate and show in the green field below. Calculations are based on the enrollment breakdown assumptions shown below that. You can edit the yellow field percentages to change the split of enrollment types, just make sure the percentages add up to 100%. Enter the number of Medicare Supplement or Original Medicare clients that you have in the yellow field on the right. The potential 1st year commissions in cross-selling products for those clients will show in the green field below.</t>
  </si>
  <si>
    <t>Potential 1st Year Commission for Clients that are enrolled in a Medicare Advantage Plan with Cross Selling Opportunities</t>
  </si>
  <si>
    <t>Potential 1st Year Commission for Clients that are enrolled in a Medicare Supplement Plan or Original Medicare with Cross Selling Opportunities</t>
  </si>
  <si>
    <t>1st Year Commission Amount (Per Sale)</t>
  </si>
  <si>
    <r>
      <t xml:space="preserve">This page is set to </t>
    </r>
    <r>
      <rPr>
        <b/>
        <sz val="11"/>
        <color theme="1"/>
        <rFont val="Calibri"/>
        <family val="2"/>
        <scheme val="minor"/>
      </rPr>
      <t>NOT</t>
    </r>
    <r>
      <rPr>
        <sz val="11"/>
        <color theme="1"/>
        <rFont val="Calibri"/>
        <family val="2"/>
        <scheme val="minor"/>
      </rPr>
      <t xml:space="preserve"> include the initial MAPD or Med Sup/PDP sale so it is only additional money that can be added as the bottom 3 yellow blocks percentages go up</t>
    </r>
  </si>
  <si>
    <t>Just an MAPD (no cross-sales)</t>
  </si>
  <si>
    <t>Just a Medicare Supplement or Original Medicare (no cross-sales)</t>
  </si>
  <si>
    <t>Hospital Indemnity Plan</t>
  </si>
  <si>
    <t>Dental Plan</t>
  </si>
  <si>
    <t>Final Expense Plan</t>
  </si>
  <si>
    <t>Hospital Indemnity &amp; Final Expense Plans</t>
  </si>
  <si>
    <t>$1,252 ($252 + $1,000)</t>
  </si>
  <si>
    <t>Dental &amp; Final Expense Plans</t>
  </si>
  <si>
    <t>$1,175 ($175 + $1,000)</t>
  </si>
  <si>
    <t># of clients in a Medicare Advantage Plan................................................</t>
  </si>
  <si>
    <t># of clients in a Med Supp or on Original Medicare.................................................</t>
  </si>
  <si>
    <t>Potential 1st year commission (assuming the below breakdown)…........</t>
  </si>
  <si>
    <t>Potential 1st year commission (assuming the below breakdown)…........................</t>
  </si>
  <si>
    <t>enroll in just an MAPD</t>
  </si>
  <si>
    <t>enroll in just a Med Supp or Original Medicare</t>
  </si>
  <si>
    <t>enroll in a Hospital Indemnity Plan</t>
  </si>
  <si>
    <t>enroll in a Dental Plan</t>
  </si>
  <si>
    <t>enroll in a Final Expense Plan</t>
  </si>
  <si>
    <t>enroll in Hospital Indemnity &amp; Dental Plans</t>
  </si>
  <si>
    <t>enroll in Dental &amp; Final Expense Plans</t>
  </si>
  <si>
    <t>- needs to equal 100%</t>
  </si>
  <si>
    <t xml:space="preserve"> </t>
  </si>
  <si>
    <t>Explanation of Cross-Selling Opportunities</t>
  </si>
  <si>
    <t>Medicare Advantage &amp; Hospital Indemnity:</t>
  </si>
  <si>
    <t>Initial sales are when the client was not already in the same type of plan at the time of sale, or is brand new to Medicare. Replacement sales are when the client was just moving to a different plan of the same type. Initial sales receive a higher commission than replacement sales. This does not apply to Medicare Supplement sales.</t>
  </si>
  <si>
    <t>Medicare Supplement &amp; Dental:</t>
  </si>
  <si>
    <t>A PDP only sale would be a client who only needs coverage for their prescription. Decides to stay on Original Medicare instead of getting a Medicare Supplement plan or a Medicare Advantage plan.</t>
  </si>
  <si>
    <t>Final Expense Plans:</t>
  </si>
  <si>
    <t>A PDP + Medicare Supplement sale would be a client who wants to buy  additional coverage to reduce their out-of-pocket cost exposure on Medicare-covered services. This client would also need a PDP for their prescription coverage.</t>
  </si>
  <si>
    <t>Potential 1st Year Medicare Commission Calculator</t>
  </si>
  <si>
    <t>Directions: To use this calculator, enter the number of clients you have approaching Medicare age that are good fits for Medicare Advantage in the yellow field below on the left. The potential 1st year commission will automatically calculate and show in the green field below. Calculations are based on the enrollment breakdown assumptions shown below that. You can edit the yellow field percentages to change the split of enrollment types, just make sure the percentages add up to 100%. Enter the number of number of clients you have approaching Medicare age that are good fits for Medicare Supplement in the yellow field on the right. The potential 1st year commissions in cross-selling products for those clients will show in the green field below.</t>
  </si>
  <si>
    <t>Potential 1st Year Commission for Clients that are enrolled in a Medicare Supplement Plan with Cross Selling Opportunities</t>
  </si>
  <si>
    <t>This page is set to include the initial MAPD or Med Sup/PDP sale so it is potential earning as first year sales WITH cross selling opportunities</t>
  </si>
  <si>
    <t>Initial Medicare Supplement/PDP Sale</t>
  </si>
  <si>
    <t>Initial MADP + Hospital Indemnity Plan</t>
  </si>
  <si>
    <t>Initial Medicare Supplement/PDP Sale + Dental Plan</t>
  </si>
  <si>
    <t>Initial MAPD Sale + Final Expense Plan</t>
  </si>
  <si>
    <t>Initial Medicare Supplement/PDP Sale +  Final Expense Plan</t>
  </si>
  <si>
    <t>Initial MAPD Sale + Hospital Indemnity Plan + Final Expense Plan</t>
  </si>
  <si>
    <t>Initial Medicare Supplement/PDP Sale + Dental Plan + Final Expense Plan</t>
  </si>
  <si>
    <t># of clients approaching Medicare age….................................................</t>
  </si>
  <si>
    <t># of clients that are Medicare eligible….................................................</t>
  </si>
  <si>
    <t>enroll in just a Med Sup/PDP Plan</t>
  </si>
  <si>
    <t>enroll in a MAPD &amp; HI Plan</t>
  </si>
  <si>
    <t>enroll in a Med Sup/PDP &amp; Dental Plan</t>
  </si>
  <si>
    <t>enroll in MAPD &amp; FE Plan</t>
  </si>
  <si>
    <t>enroll in Med Sup/PDP  &amp; FE Plan</t>
  </si>
  <si>
    <t>enroll in MAPD, HI, and FE Plan</t>
  </si>
  <si>
    <t>enroll in Med Sup/PDP, Dental and FE Plan</t>
  </si>
  <si>
    <r>
      <rPr>
        <b/>
        <sz val="12"/>
        <color theme="1"/>
        <rFont val="Calibri"/>
        <family val="2"/>
        <scheme val="minor"/>
      </rPr>
      <t>Directions:</t>
    </r>
    <r>
      <rPr>
        <b/>
        <sz val="11"/>
        <color theme="1"/>
        <rFont val="Calibri"/>
        <family val="2"/>
        <scheme val="minor"/>
      </rPr>
      <t xml:space="preserve"> </t>
    </r>
    <r>
      <rPr>
        <sz val="11"/>
        <color theme="1"/>
        <rFont val="Calibri"/>
        <family val="2"/>
        <scheme val="minor"/>
      </rPr>
      <t>To use this calculator, enter the number of clients you have approaching Medicare age in the yellow field below on the left. The potential 1st year commission will automatically calculate and show in the green field below. Calculations are based on the enrollment breakdown assumptions shown below that. You can edit the yellow field percentages to change the split of enrollment types based, just make sure the percentages add up to 100%. Enter the number of clients you have that are already Medicare eligible in the yellow field on the right. The potential 1st year commissions for those clients will show in the green field below.</t>
    </r>
  </si>
  <si>
    <t>Potential 1st Year Commission for Clients that are Newly Eligible for Medicare or are Only on Original Medicare</t>
  </si>
  <si>
    <t>Potential 1st Year Commission for Clients that are Already Medicare Eligible and are Only Switching Plans</t>
  </si>
  <si>
    <t>Initial PDP + Medicare Supplement Sale</t>
  </si>
  <si>
    <t>Replacement PDP + Medicare Supplement Sale</t>
  </si>
  <si>
    <t>Initial MSA + initial PDP Sale</t>
  </si>
  <si>
    <t>enroll in just a PDP</t>
  </si>
  <si>
    <t>enroll in a PDP &amp; Med Sup</t>
  </si>
  <si>
    <t>enroll in MAPD</t>
  </si>
  <si>
    <t>enroll in MSA + PDP</t>
  </si>
  <si>
    <t>Explanation of Terms and Sale Possibilities</t>
  </si>
  <si>
    <t>"Initial" vs "Replacement":</t>
  </si>
  <si>
    <t>PDP Sale:</t>
  </si>
  <si>
    <t>PDP + Medicare Supplement Sale:</t>
  </si>
  <si>
    <t>MAPD Sale:</t>
  </si>
  <si>
    <t>An MAPD sale would be a client who chooses to get their Medicare and prescription coverage through a Medicare Advantage plan.</t>
  </si>
  <si>
    <t>MSA + PDP Sale:</t>
  </si>
  <si>
    <t>An MSA + PDP sale would be a client who chooses to get their Medicare coverage through an MSA plan. MSA plans are a type of Medicare Advantage plan that do not include prescription drug coverage, so this client would also need a PDP for their prescription coverage.</t>
  </si>
  <si>
    <t>Potential Residuals for MAPD Commission Calculator</t>
  </si>
  <si>
    <r>
      <rPr>
        <b/>
        <sz val="12"/>
        <color theme="1"/>
        <rFont val="Calibri"/>
        <family val="2"/>
        <scheme val="minor"/>
      </rPr>
      <t>Directions:</t>
    </r>
    <r>
      <rPr>
        <b/>
        <sz val="11"/>
        <color theme="1"/>
        <rFont val="Calibri"/>
        <family val="2"/>
        <scheme val="minor"/>
      </rPr>
      <t xml:space="preserve"> </t>
    </r>
    <r>
      <rPr>
        <sz val="11"/>
        <color theme="1"/>
        <rFont val="Calibri"/>
        <family val="2"/>
        <scheme val="minor"/>
      </rPr>
      <t>To use this calculator, enter a number of potential enrollments per month in the "AEP enrollments per year" field. This would be how many new clients you get per month, and enrollments would either be based on aging into Medicare or from an SEP since they are outside of the AEP. Next, enter a number of potential new client enrollments for AEP each year. Then, you can scroll down to see the potential commission each year, including the calculated residual potential based on an assumed retention rate of 85% of clients staying on each year.</t>
    </r>
  </si>
  <si>
    <t>SEP/age-in enrollments per month:</t>
  </si>
  <si>
    <t>AEP enrollments per year:</t>
  </si>
  <si>
    <t>Switches Only</t>
  </si>
  <si>
    <t>Mixed Population (75%-Switch &amp; 25%-Age Ins)</t>
  </si>
  <si>
    <t>Sales by effective date</t>
  </si>
  <si>
    <t>Total Comp 2022</t>
  </si>
  <si>
    <t xml:space="preserve">MAPD </t>
  </si>
  <si>
    <t>Commissions</t>
  </si>
  <si>
    <t>January</t>
  </si>
  <si>
    <t>February</t>
  </si>
  <si>
    <t>March</t>
  </si>
  <si>
    <t>April</t>
  </si>
  <si>
    <t>May</t>
  </si>
  <si>
    <t>June</t>
  </si>
  <si>
    <t>July</t>
  </si>
  <si>
    <t>August</t>
  </si>
  <si>
    <t>September</t>
  </si>
  <si>
    <t xml:space="preserve">October </t>
  </si>
  <si>
    <t>November</t>
  </si>
  <si>
    <t>December</t>
  </si>
  <si>
    <t>Total</t>
  </si>
  <si>
    <t>Total: Commissions/Renewals</t>
  </si>
  <si>
    <t>Total Comp 2023</t>
  </si>
  <si>
    <t xml:space="preserve">Renewals </t>
  </si>
  <si>
    <t>Renewals</t>
  </si>
  <si>
    <t>Total Comp 2024</t>
  </si>
  <si>
    <t>Total Comp 2025</t>
  </si>
  <si>
    <t>Total Comp 2026</t>
  </si>
  <si>
    <t>Total Comp 2027</t>
  </si>
  <si>
    <t>Total Comp 2028</t>
  </si>
  <si>
    <t>Total Comp 2029</t>
  </si>
  <si>
    <t>Total Comp 2030</t>
  </si>
  <si>
    <t>Assumption:</t>
  </si>
  <si>
    <t>85% OF BUSINESS STAYS ON YEAR AFTER YEAR</t>
  </si>
  <si>
    <t>$853 ($601 + $252)</t>
  </si>
  <si>
    <t>$1,601 ($601 + $1,000)</t>
  </si>
  <si>
    <t>$1,853 ($601 + $252 + $1,000)</t>
  </si>
  <si>
    <t>$318 ($92 + $226)</t>
  </si>
  <si>
    <t>$693 ($601 + $92)</t>
  </si>
  <si>
    <t>$296 ($46 + $250)</t>
  </si>
  <si>
    <t>$388 ($301 + $87)</t>
  </si>
  <si>
    <t>$342 ($250 + $92)</t>
  </si>
  <si>
    <t>$517 ($342 + $175)</t>
  </si>
  <si>
    <t>$1,342 ($342 + $1,000)</t>
  </si>
  <si>
    <t>$1,517 ($342 + $175 +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</si>
</sst>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
  </numFmts>
  <fonts count="16"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u/>
      <sz val="18"/>
      <color theme="1"/>
      <name val="Calibri"/>
      <family val="2"/>
      <scheme val="minor"/>
    </font>
    <font>
      <sz val="11"/>
      <color theme="0" tint="-4.9989318521683403E-2"/>
      <name val="Calibri"/>
      <family val="2"/>
      <scheme val="minor"/>
    </font>
    <font>
      <sz val="10"/>
      <name val="Arial"/>
    </font>
    <font>
      <b/>
      <sz val="12"/>
      <name val="Arial"/>
      <family val="2"/>
    </font>
    <font>
      <b/>
      <sz val="10"/>
      <name val="Arial"/>
      <family val="2"/>
    </font>
    <font>
      <sz val="10"/>
      <name val="Arial"/>
      <family val="2"/>
    </font>
    <font>
      <b/>
      <sz val="10"/>
      <color rgb="FFFF0000"/>
      <name val="Arial"/>
      <family val="2"/>
    </font>
    <font>
      <sz val="10"/>
      <color rgb="FFFF0000"/>
      <name val="Arial"/>
      <family val="2"/>
    </font>
    <font>
      <sz val="16"/>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dashed">
        <color auto="1"/>
      </left>
      <right/>
      <top style="medium">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medium">
        <color rgb="FF000000"/>
      </bottom>
      <diagonal/>
    </border>
    <border>
      <left style="dashed">
        <color auto="1"/>
      </left>
      <right/>
      <top style="thin">
        <color auto="1"/>
      </top>
      <bottom style="medium">
        <color rgb="FF000000"/>
      </bottom>
      <diagonal/>
    </border>
    <border>
      <left/>
      <right/>
      <top style="thin">
        <color auto="1"/>
      </top>
      <bottom style="medium">
        <color rgb="FF000000"/>
      </bottom>
      <diagonal/>
    </border>
    <border>
      <left/>
      <right style="medium">
        <color indexed="64"/>
      </right>
      <top style="thin">
        <color auto="1"/>
      </top>
      <bottom style="medium">
        <color rgb="FF000000"/>
      </bottom>
      <diagonal/>
    </border>
  </borders>
  <cellStyleXfs count="4">
    <xf numFmtId="0" fontId="0" fillId="0" borderId="0"/>
    <xf numFmtId="0" fontId="8" fillId="0" borderId="0"/>
    <xf numFmtId="44" fontId="11" fillId="0" borderId="0" applyFont="0" applyFill="0" applyBorder="0" applyAlignment="0" applyProtection="0"/>
    <xf numFmtId="9" fontId="15" fillId="0" borderId="0" applyFont="0" applyFill="0" applyBorder="0" applyAlignment="0" applyProtection="0"/>
  </cellStyleXfs>
  <cellXfs count="86">
    <xf numFmtId="0" fontId="0" fillId="0" borderId="0" xfId="0"/>
    <xf numFmtId="0" fontId="1" fillId="0" borderId="0" xfId="0" applyFont="1"/>
    <xf numFmtId="6" fontId="0" fillId="0" borderId="0" xfId="0" applyNumberFormat="1"/>
    <xf numFmtId="0" fontId="5" fillId="0" borderId="0" xfId="0" applyFont="1" applyAlignment="1">
      <alignment horizontal="center"/>
    </xf>
    <xf numFmtId="0" fontId="0" fillId="0" borderId="3" xfId="0" applyBorder="1"/>
    <xf numFmtId="0" fontId="3" fillId="0" borderId="0" xfId="0" applyFont="1" applyAlignment="1">
      <alignment horizontal="center" wrapText="1"/>
    </xf>
    <xf numFmtId="0" fontId="3" fillId="0" borderId="2" xfId="0" applyFont="1" applyBorder="1" applyAlignment="1">
      <alignment horizontal="center" wrapText="1"/>
    </xf>
    <xf numFmtId="0" fontId="1" fillId="5" borderId="1" xfId="0" applyFont="1" applyFill="1" applyBorder="1" applyAlignment="1">
      <alignment horizontal="center"/>
    </xf>
    <xf numFmtId="0" fontId="0" fillId="0" borderId="2" xfId="0" applyBorder="1"/>
    <xf numFmtId="0" fontId="0" fillId="4" borderId="1" xfId="0" applyFill="1" applyBorder="1" applyAlignment="1">
      <alignment vertical="center" wrapText="1"/>
    </xf>
    <xf numFmtId="6" fontId="0" fillId="4" borderId="1" xfId="0" applyNumberFormat="1"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0" fillId="0" borderId="7" xfId="0" applyBorder="1"/>
    <xf numFmtId="0" fontId="0" fillId="0" borderId="8" xfId="0" applyBorder="1"/>
    <xf numFmtId="0" fontId="0" fillId="0" borderId="9" xfId="0" applyBorder="1"/>
    <xf numFmtId="0" fontId="0" fillId="4" borderId="3" xfId="0" applyFill="1" applyBorder="1"/>
    <xf numFmtId="0" fontId="0" fillId="4" borderId="0" xfId="0" applyFill="1"/>
    <xf numFmtId="0" fontId="0" fillId="4" borderId="2" xfId="0" applyFill="1" applyBorder="1"/>
    <xf numFmtId="164" fontId="7" fillId="4" borderId="0" xfId="0" applyNumberFormat="1" applyFont="1" applyFill="1" applyAlignment="1">
      <alignment horizontal="center"/>
    </xf>
    <xf numFmtId="0" fontId="0" fillId="4" borderId="4" xfId="0" applyFill="1" applyBorder="1"/>
    <xf numFmtId="0" fontId="0" fillId="4" borderId="5" xfId="0" applyFill="1" applyBorder="1"/>
    <xf numFmtId="164" fontId="7" fillId="4" borderId="5" xfId="0" applyNumberFormat="1" applyFont="1" applyFill="1" applyBorder="1" applyAlignment="1">
      <alignment horizontal="center"/>
    </xf>
    <xf numFmtId="164" fontId="2" fillId="0" borderId="0" xfId="0" applyNumberFormat="1" applyFont="1" applyAlignment="1">
      <alignment horizontal="center"/>
    </xf>
    <xf numFmtId="0" fontId="0" fillId="4" borderId="6" xfId="0" applyFill="1" applyBorder="1"/>
    <xf numFmtId="0" fontId="0" fillId="4" borderId="2" xfId="0" applyFill="1" applyBorder="1" applyAlignment="1">
      <alignment horizontal="center"/>
    </xf>
    <xf numFmtId="164" fontId="0" fillId="4" borderId="2" xfId="0" applyNumberFormat="1" applyFill="1" applyBorder="1" applyAlignment="1">
      <alignment horizontal="center"/>
    </xf>
    <xf numFmtId="0" fontId="4" fillId="0" borderId="0" xfId="0" applyFont="1" applyAlignment="1">
      <alignment horizontal="center"/>
    </xf>
    <xf numFmtId="0" fontId="1" fillId="5" borderId="13" xfId="0" applyFont="1" applyFill="1" applyBorder="1" applyAlignment="1">
      <alignment horizontal="left" vertical="center"/>
    </xf>
    <xf numFmtId="0" fontId="0" fillId="0" borderId="0" xfId="0" applyAlignment="1">
      <alignment horizontal="center" vertical="center" wrapText="1"/>
    </xf>
    <xf numFmtId="0" fontId="1" fillId="5" borderId="16" xfId="0" applyFont="1" applyFill="1" applyBorder="1" applyAlignment="1">
      <alignment horizontal="left" vertical="center"/>
    </xf>
    <xf numFmtId="0" fontId="1" fillId="5" borderId="19"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pplyProtection="1">
      <alignment horizontal="center"/>
      <protection locked="0"/>
    </xf>
    <xf numFmtId="0" fontId="8" fillId="0" borderId="0" xfId="1"/>
    <xf numFmtId="0" fontId="8" fillId="0" borderId="1" xfId="1" applyBorder="1"/>
    <xf numFmtId="0" fontId="10" fillId="0" borderId="1" xfId="1" applyFont="1" applyBorder="1"/>
    <xf numFmtId="44" fontId="0" fillId="0" borderId="1" xfId="2" applyFont="1" applyBorder="1"/>
    <xf numFmtId="44" fontId="10" fillId="0" borderId="1" xfId="2" applyFont="1" applyBorder="1"/>
    <xf numFmtId="0" fontId="12" fillId="0" borderId="0" xfId="1" applyFont="1"/>
    <xf numFmtId="0" fontId="13" fillId="0" borderId="0" xfId="1" applyFont="1"/>
    <xf numFmtId="0" fontId="12" fillId="6" borderId="0" xfId="1" applyFont="1" applyFill="1"/>
    <xf numFmtId="0" fontId="0" fillId="0" borderId="1" xfId="0" applyBorder="1"/>
    <xf numFmtId="0" fontId="14" fillId="2" borderId="1" xfId="0" applyFont="1" applyFill="1" applyBorder="1"/>
    <xf numFmtId="165" fontId="8" fillId="0" borderId="0" xfId="1" applyNumberFormat="1"/>
    <xf numFmtId="9" fontId="0" fillId="2" borderId="1" xfId="3" applyFont="1" applyFill="1" applyBorder="1" applyProtection="1"/>
    <xf numFmtId="0" fontId="0" fillId="4" borderId="5" xfId="0" quotePrefix="1" applyFill="1" applyBorder="1"/>
    <xf numFmtId="0" fontId="0" fillId="5" borderId="31" xfId="0" applyFill="1" applyBorder="1" applyAlignment="1">
      <alignment vertical="center" wrapText="1"/>
    </xf>
    <xf numFmtId="0" fontId="6" fillId="0" borderId="0" xfId="0" applyFont="1"/>
    <xf numFmtId="9" fontId="0" fillId="3" borderId="30" xfId="0" applyNumberFormat="1" applyFill="1" applyBorder="1"/>
    <xf numFmtId="164" fontId="3" fillId="3" borderId="1" xfId="0" applyNumberFormat="1" applyFont="1" applyFill="1" applyBorder="1" applyAlignment="1">
      <alignment horizontal="center"/>
    </xf>
    <xf numFmtId="164" fontId="0" fillId="4" borderId="1" xfId="0" applyNumberFormat="1" applyFill="1" applyBorder="1" applyAlignment="1">
      <alignment horizontal="center" vertical="center"/>
    </xf>
    <xf numFmtId="0" fontId="1" fillId="5" borderId="13" xfId="0" applyFont="1" applyFill="1" applyBorder="1" applyAlignment="1">
      <alignment horizontal="left" vertical="center" wrapText="1"/>
    </xf>
    <xf numFmtId="0" fontId="1" fillId="5" borderId="32" xfId="0" applyFont="1" applyFill="1" applyBorder="1" applyAlignment="1">
      <alignment horizontal="left" vertical="center"/>
    </xf>
    <xf numFmtId="2" fontId="8" fillId="0" borderId="0" xfId="1" applyNumberFormat="1"/>
    <xf numFmtId="0" fontId="0" fillId="4" borderId="23"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6" fillId="0" borderId="0" xfId="0" applyFont="1" applyAlignment="1">
      <alignment horizontal="center"/>
    </xf>
    <xf numFmtId="0" fontId="0" fillId="5" borderId="31" xfId="0" applyFill="1" applyBorder="1" applyAlignment="1">
      <alignment horizontal="center" vertical="center" wrapText="1"/>
    </xf>
    <xf numFmtId="0" fontId="3" fillId="5" borderId="25" xfId="0" applyFont="1" applyFill="1" applyBorder="1" applyAlignment="1">
      <alignment horizontal="center" wrapText="1"/>
    </xf>
    <xf numFmtId="0" fontId="3" fillId="5" borderId="26" xfId="0" applyFont="1" applyFill="1" applyBorder="1" applyAlignment="1">
      <alignment horizontal="center" wrapText="1"/>
    </xf>
    <xf numFmtId="0" fontId="3" fillId="5" borderId="27" xfId="0" applyFont="1" applyFill="1" applyBorder="1" applyAlignment="1">
      <alignment horizontal="center" wrapText="1"/>
    </xf>
    <xf numFmtId="0" fontId="1" fillId="4" borderId="0" xfId="0" applyFont="1" applyFill="1" applyAlignment="1">
      <alignment horizontal="left" wrapText="1"/>
    </xf>
    <xf numFmtId="0" fontId="0" fillId="0" borderId="0" xfId="0" applyAlignment="1">
      <alignment horizontal="center" vertical="center" wrapText="1"/>
    </xf>
    <xf numFmtId="0" fontId="4" fillId="0" borderId="0" xfId="0" applyFont="1" applyAlignment="1">
      <alignment horizontal="center"/>
    </xf>
    <xf numFmtId="0" fontId="0" fillId="4" borderId="22"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0" xfId="0" applyAlignment="1">
      <alignment horizontal="left" vertical="center" wrapText="1"/>
    </xf>
    <xf numFmtId="0" fontId="9" fillId="0" borderId="1" xfId="1" applyFont="1" applyBorder="1" applyAlignment="1">
      <alignment horizontal="center" wrapText="1"/>
    </xf>
    <xf numFmtId="0" fontId="10" fillId="0" borderId="28" xfId="1" applyFont="1" applyBorder="1" applyAlignment="1">
      <alignment horizontal="center"/>
    </xf>
    <xf numFmtId="0" fontId="10" fillId="0" borderId="17" xfId="1" applyFont="1" applyBorder="1" applyAlignment="1">
      <alignment horizontal="center"/>
    </xf>
    <xf numFmtId="0" fontId="10" fillId="0" borderId="29" xfId="1" applyFont="1" applyBorder="1" applyAlignment="1">
      <alignment horizontal="center"/>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1" fillId="0" borderId="28" xfId="0" applyFont="1" applyBorder="1" applyAlignment="1">
      <alignment horizontal="right"/>
    </xf>
    <xf numFmtId="0" fontId="1" fillId="0" borderId="29" xfId="0" applyFont="1" applyBorder="1" applyAlignment="1">
      <alignment horizontal="right"/>
    </xf>
  </cellXfs>
  <cellStyles count="4">
    <cellStyle name="Currency 2" xfId="2" xr:uid="{97833955-9826-4009-89EA-273AFDEF4F46}"/>
    <cellStyle name="Normal" xfId="0" builtinId="0"/>
    <cellStyle name="Normal 2" xfId="1" xr:uid="{E56E9E50-142E-46CD-9D69-5B80CF1AD2EC}"/>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5C51-AA8D-4FFE-8316-EDAE60343920}">
  <sheetPr codeName="Sheet2"/>
  <dimension ref="A2:B18"/>
  <sheetViews>
    <sheetView workbookViewId="0">
      <selection activeCell="B17" sqref="B17"/>
    </sheetView>
  </sheetViews>
  <sheetFormatPr defaultRowHeight="14.5" x14ac:dyDescent="0.35"/>
  <cols>
    <col min="1" max="1" width="36" customWidth="1"/>
  </cols>
  <sheetData>
    <row r="2" spans="1:2" x14ac:dyDescent="0.35">
      <c r="A2" s="1" t="s">
        <v>0</v>
      </c>
    </row>
    <row r="3" spans="1:2" x14ac:dyDescent="0.35">
      <c r="A3" t="s">
        <v>1</v>
      </c>
      <c r="B3" s="2">
        <v>81</v>
      </c>
    </row>
    <row r="4" spans="1:2" x14ac:dyDescent="0.35">
      <c r="A4" t="s">
        <v>2</v>
      </c>
      <c r="B4" s="2">
        <v>41</v>
      </c>
    </row>
    <row r="5" spans="1:2" x14ac:dyDescent="0.35">
      <c r="A5" t="s">
        <v>3</v>
      </c>
      <c r="B5" s="2">
        <v>226</v>
      </c>
    </row>
    <row r="6" spans="1:2" x14ac:dyDescent="0.35">
      <c r="A6" t="s">
        <v>4</v>
      </c>
      <c r="B6" s="2">
        <v>539</v>
      </c>
    </row>
    <row r="7" spans="1:2" x14ac:dyDescent="0.35">
      <c r="A7" t="s">
        <v>5</v>
      </c>
      <c r="B7" s="2">
        <v>270</v>
      </c>
    </row>
    <row r="9" spans="1:2" x14ac:dyDescent="0.35">
      <c r="A9" s="1" t="s">
        <v>6</v>
      </c>
    </row>
    <row r="10" spans="1:2" x14ac:dyDescent="0.35">
      <c r="A10" t="s">
        <v>7</v>
      </c>
      <c r="B10" s="2">
        <f>B3</f>
        <v>81</v>
      </c>
    </row>
    <row r="11" spans="1:2" x14ac:dyDescent="0.35">
      <c r="A11" t="s">
        <v>8</v>
      </c>
      <c r="B11" s="2">
        <f>B4</f>
        <v>41</v>
      </c>
    </row>
    <row r="12" spans="1:2" x14ac:dyDescent="0.35">
      <c r="A12" t="s">
        <v>9</v>
      </c>
      <c r="B12" s="2">
        <f>B5+B3</f>
        <v>307</v>
      </c>
    </row>
    <row r="13" spans="1:2" x14ac:dyDescent="0.35">
      <c r="A13" t="s">
        <v>10</v>
      </c>
      <c r="B13" s="2">
        <f>B5+B4</f>
        <v>267</v>
      </c>
    </row>
    <row r="14" spans="1:2" x14ac:dyDescent="0.35">
      <c r="A14" t="s">
        <v>11</v>
      </c>
      <c r="B14" s="2">
        <f>B6</f>
        <v>539</v>
      </c>
    </row>
    <row r="15" spans="1:2" x14ac:dyDescent="0.35">
      <c r="A15" t="s">
        <v>12</v>
      </c>
      <c r="B15" s="2">
        <f>B7</f>
        <v>270</v>
      </c>
    </row>
    <row r="16" spans="1:2" x14ac:dyDescent="0.35">
      <c r="A16" t="s">
        <v>13</v>
      </c>
      <c r="B16" s="2">
        <f>B6+B3</f>
        <v>620</v>
      </c>
    </row>
    <row r="17" spans="1:2" x14ac:dyDescent="0.35">
      <c r="A17" t="s">
        <v>14</v>
      </c>
      <c r="B17" s="2">
        <f>B7+B4</f>
        <v>311</v>
      </c>
    </row>
    <row r="18" spans="1:2" x14ac:dyDescent="0.35">
      <c r="A18" t="s">
        <v>15</v>
      </c>
      <c r="B18" s="2">
        <f>B7+B3</f>
        <v>351</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FB49C-26AA-4294-A956-BA2A9A6A3158}">
  <sheetPr codeName="Sheet1"/>
  <dimension ref="B1:U28"/>
  <sheetViews>
    <sheetView showGridLines="0" tabSelected="1" workbookViewId="0">
      <selection activeCell="M18" sqref="M18"/>
    </sheetView>
  </sheetViews>
  <sheetFormatPr defaultRowHeight="14.5" x14ac:dyDescent="0.35"/>
  <cols>
    <col min="1" max="1" width="3.453125" customWidth="1"/>
    <col min="2" max="2" width="8.7265625" customWidth="1"/>
    <col min="3" max="3" width="5.7265625" customWidth="1"/>
    <col min="4" max="4" width="30.81640625" customWidth="1"/>
    <col min="5" max="5" width="37.81640625" customWidth="1"/>
    <col min="6" max="6" width="10.81640625" customWidth="1"/>
    <col min="7" max="7" width="1.7265625" customWidth="1"/>
    <col min="8" max="9" width="3.453125" customWidth="1"/>
    <col min="10" max="10" width="9.7265625" customWidth="1"/>
    <col min="11" max="11" width="5.7265625" customWidth="1"/>
    <col min="12" max="12" width="39.26953125" bestFit="1" customWidth="1"/>
    <col min="13" max="13" width="37.54296875" customWidth="1"/>
    <col min="14" max="14" width="10.7265625" customWidth="1"/>
    <col min="15" max="15" width="1.26953125" customWidth="1"/>
    <col min="16" max="16" width="3.453125" customWidth="1"/>
  </cols>
  <sheetData>
    <row r="1" spans="2:21" ht="23.5" x14ac:dyDescent="0.55000000000000004">
      <c r="D1" s="62" t="s">
        <v>51</v>
      </c>
      <c r="E1" s="62"/>
      <c r="F1" s="62"/>
      <c r="G1" s="62"/>
      <c r="H1" s="62"/>
      <c r="I1" s="62"/>
      <c r="J1" s="62"/>
      <c r="K1" s="62"/>
      <c r="L1" s="62"/>
      <c r="M1" s="62"/>
      <c r="N1" s="62"/>
      <c r="O1" s="62"/>
    </row>
    <row r="2" spans="2:21" ht="9" customHeight="1" x14ac:dyDescent="0.55000000000000004">
      <c r="D2" s="3"/>
      <c r="E2" s="3"/>
      <c r="F2" s="3"/>
      <c r="G2" s="3"/>
      <c r="H2" s="3"/>
      <c r="I2" s="3"/>
      <c r="J2" s="3"/>
      <c r="K2" s="3"/>
      <c r="L2" s="3"/>
      <c r="M2" s="3"/>
      <c r="N2" s="3"/>
      <c r="O2" s="3"/>
    </row>
    <row r="3" spans="2:21" ht="60" customHeight="1" x14ac:dyDescent="0.35">
      <c r="B3" s="63" t="s">
        <v>52</v>
      </c>
      <c r="C3" s="63"/>
      <c r="D3" s="63"/>
      <c r="E3" s="63"/>
      <c r="F3" s="63"/>
      <c r="G3" s="63"/>
      <c r="H3" s="63"/>
      <c r="I3" s="63"/>
      <c r="J3" s="63"/>
      <c r="K3" s="63"/>
      <c r="L3" s="63"/>
      <c r="M3" s="63"/>
      <c r="N3" s="63"/>
      <c r="O3" s="63"/>
    </row>
    <row r="4" spans="2:21" ht="9.75" customHeight="1" x14ac:dyDescent="0.35"/>
    <row r="5" spans="2:21" ht="30.75" customHeight="1" x14ac:dyDescent="0.35">
      <c r="B5" s="64" t="s">
        <v>18</v>
      </c>
      <c r="C5" s="65"/>
      <c r="D5" s="65"/>
      <c r="E5" s="65"/>
      <c r="F5" s="65"/>
      <c r="G5" s="66"/>
      <c r="J5" s="64" t="s">
        <v>53</v>
      </c>
      <c r="K5" s="65"/>
      <c r="L5" s="65"/>
      <c r="M5" s="65"/>
      <c r="N5" s="65"/>
      <c r="O5" s="66"/>
      <c r="Q5" s="68" t="s">
        <v>54</v>
      </c>
      <c r="R5" s="68"/>
      <c r="S5" s="68"/>
      <c r="T5" s="68"/>
      <c r="U5" s="68"/>
    </row>
    <row r="6" spans="2:21" ht="9" customHeight="1" x14ac:dyDescent="0.35">
      <c r="B6" s="4"/>
      <c r="D6" s="5"/>
      <c r="E6" s="5"/>
      <c r="F6" s="5"/>
      <c r="G6" s="6"/>
      <c r="J6" s="4"/>
      <c r="L6" s="5"/>
      <c r="M6" s="5"/>
      <c r="N6" s="5"/>
      <c r="O6" s="6"/>
      <c r="Q6" s="68"/>
      <c r="R6" s="68"/>
      <c r="S6" s="68"/>
      <c r="T6" s="68"/>
      <c r="U6" s="68"/>
    </row>
    <row r="7" spans="2:21" x14ac:dyDescent="0.35">
      <c r="B7" s="4"/>
      <c r="D7" s="7" t="s">
        <v>6</v>
      </c>
      <c r="E7" s="7" t="s">
        <v>20</v>
      </c>
      <c r="G7" s="8"/>
      <c r="J7" s="4"/>
      <c r="L7" s="7" t="s">
        <v>6</v>
      </c>
      <c r="M7" s="7" t="s">
        <v>20</v>
      </c>
      <c r="O7" s="8"/>
      <c r="Q7" s="68"/>
      <c r="R7" s="68"/>
      <c r="S7" s="68"/>
      <c r="T7" s="68"/>
      <c r="U7" s="68"/>
    </row>
    <row r="8" spans="2:21" x14ac:dyDescent="0.35">
      <c r="B8" s="4"/>
      <c r="D8" s="9" t="s">
        <v>11</v>
      </c>
      <c r="E8" s="10">
        <v>601</v>
      </c>
      <c r="G8" s="8"/>
      <c r="J8" s="4"/>
      <c r="L8" s="11" t="s">
        <v>55</v>
      </c>
      <c r="M8" s="10" t="s">
        <v>132</v>
      </c>
      <c r="O8" s="8"/>
      <c r="Q8" s="68"/>
      <c r="R8" s="68"/>
      <c r="S8" s="68"/>
      <c r="T8" s="68"/>
      <c r="U8" s="68"/>
    </row>
    <row r="9" spans="2:21" ht="29" x14ac:dyDescent="0.35">
      <c r="B9" s="4"/>
      <c r="D9" s="9" t="s">
        <v>56</v>
      </c>
      <c r="E9" s="12" t="s">
        <v>125</v>
      </c>
      <c r="G9" s="8"/>
      <c r="J9" s="4"/>
      <c r="L9" s="11" t="s">
        <v>57</v>
      </c>
      <c r="M9" s="10" t="s">
        <v>133</v>
      </c>
      <c r="O9" s="8"/>
      <c r="Q9" s="68"/>
      <c r="R9" s="68"/>
      <c r="S9" s="68"/>
      <c r="T9" s="68"/>
      <c r="U9" s="68"/>
    </row>
    <row r="10" spans="2:21" ht="29" x14ac:dyDescent="0.35">
      <c r="B10" s="4"/>
      <c r="D10" s="9" t="s">
        <v>58</v>
      </c>
      <c r="E10" s="10" t="s">
        <v>126</v>
      </c>
      <c r="G10" s="8"/>
      <c r="J10" s="4"/>
      <c r="L10" s="11" t="s">
        <v>59</v>
      </c>
      <c r="M10" s="10" t="s">
        <v>134</v>
      </c>
      <c r="O10" s="8"/>
      <c r="Q10" s="68"/>
      <c r="R10" s="68"/>
      <c r="S10" s="68"/>
      <c r="T10" s="68"/>
      <c r="U10" s="68"/>
    </row>
    <row r="11" spans="2:21" ht="46.5" customHeight="1" x14ac:dyDescent="0.35">
      <c r="B11" s="4"/>
      <c r="D11" s="9" t="s">
        <v>60</v>
      </c>
      <c r="E11" s="12" t="s">
        <v>127</v>
      </c>
      <c r="G11" s="8"/>
      <c r="J11" s="4"/>
      <c r="L11" s="11" t="s">
        <v>61</v>
      </c>
      <c r="M11" s="10" t="s">
        <v>135</v>
      </c>
      <c r="O11" s="8"/>
      <c r="Q11" s="68"/>
      <c r="R11" s="68"/>
      <c r="S11" s="68"/>
      <c r="T11" s="68"/>
      <c r="U11" s="68"/>
    </row>
    <row r="12" spans="2:21" x14ac:dyDescent="0.35">
      <c r="B12" s="13"/>
      <c r="C12" s="14"/>
      <c r="D12" s="14"/>
      <c r="E12" s="14"/>
      <c r="F12" s="14"/>
      <c r="G12" s="15"/>
      <c r="J12" s="13"/>
      <c r="K12" s="14"/>
      <c r="L12" s="14"/>
      <c r="M12" s="14"/>
      <c r="N12" s="14"/>
      <c r="O12" s="15"/>
      <c r="Q12" s="68"/>
      <c r="R12" s="68"/>
      <c r="S12" s="68"/>
      <c r="T12" s="68"/>
      <c r="U12" s="68"/>
    </row>
    <row r="13" spans="2:21" ht="5.25" customHeight="1" x14ac:dyDescent="0.35">
      <c r="B13" s="16"/>
      <c r="C13" s="17"/>
      <c r="D13" s="17"/>
      <c r="E13" s="17"/>
      <c r="F13" s="17"/>
      <c r="G13" s="18"/>
      <c r="J13" s="16"/>
      <c r="K13" s="17"/>
      <c r="L13" s="17"/>
      <c r="M13" s="17"/>
      <c r="N13" s="17"/>
      <c r="O13" s="18"/>
    </row>
    <row r="14" spans="2:21" x14ac:dyDescent="0.35">
      <c r="B14" s="16"/>
      <c r="C14" s="17"/>
      <c r="D14" s="67" t="s">
        <v>62</v>
      </c>
      <c r="E14" s="67"/>
      <c r="F14" s="34">
        <v>100</v>
      </c>
      <c r="G14" s="25"/>
      <c r="J14" s="16"/>
      <c r="K14" s="17"/>
      <c r="L14" s="67" t="s">
        <v>63</v>
      </c>
      <c r="M14" s="67"/>
      <c r="N14" s="34">
        <v>100</v>
      </c>
      <c r="O14" s="18"/>
    </row>
    <row r="15" spans="2:21" ht="15.5" x14ac:dyDescent="0.35">
      <c r="B15" s="16"/>
      <c r="C15" s="17"/>
      <c r="D15" s="67" t="s">
        <v>33</v>
      </c>
      <c r="E15" s="67"/>
      <c r="F15" s="51">
        <f>((F14*C16)*E16)+((F14*C17)*E17)+((F14*C18)*E18)+((F14*C19)*E19)</f>
        <v>96400</v>
      </c>
      <c r="G15" s="26"/>
      <c r="J15" s="16"/>
      <c r="K15" s="17"/>
      <c r="L15" s="67" t="s">
        <v>33</v>
      </c>
      <c r="M15" s="67"/>
      <c r="N15" s="51">
        <f>((N14*K16)*M16)+((N14*K17)*M17)+((N14*K18)*M18)+((N14*K19)*M19)</f>
        <v>68575</v>
      </c>
      <c r="O15" s="18"/>
    </row>
    <row r="16" spans="2:21" x14ac:dyDescent="0.35">
      <c r="B16" s="16"/>
      <c r="C16" s="46">
        <v>0.6</v>
      </c>
      <c r="D16" s="17" t="s">
        <v>35</v>
      </c>
      <c r="E16" s="19">
        <v>601</v>
      </c>
      <c r="F16" s="17"/>
      <c r="G16" s="18"/>
      <c r="J16" s="16"/>
      <c r="K16" s="46">
        <v>0.6</v>
      </c>
      <c r="L16" s="17" t="s">
        <v>64</v>
      </c>
      <c r="M16" s="19">
        <v>342</v>
      </c>
      <c r="N16" s="17"/>
      <c r="O16" s="18"/>
    </row>
    <row r="17" spans="2:17" x14ac:dyDescent="0.35">
      <c r="B17" s="16"/>
      <c r="C17" s="46">
        <v>0.1</v>
      </c>
      <c r="D17" s="17" t="s">
        <v>65</v>
      </c>
      <c r="E17" s="19">
        <v>853</v>
      </c>
      <c r="F17" s="17"/>
      <c r="G17" s="18"/>
      <c r="J17" s="16"/>
      <c r="K17" s="46">
        <v>0.1</v>
      </c>
      <c r="L17" s="17" t="s">
        <v>66</v>
      </c>
      <c r="M17" s="19">
        <v>517</v>
      </c>
      <c r="N17" s="17"/>
      <c r="O17" s="18"/>
    </row>
    <row r="18" spans="2:17" x14ac:dyDescent="0.35">
      <c r="B18" s="16"/>
      <c r="C18" s="46">
        <v>0.15</v>
      </c>
      <c r="D18" s="17" t="s">
        <v>67</v>
      </c>
      <c r="E18" s="19">
        <v>1601</v>
      </c>
      <c r="F18" s="17"/>
      <c r="G18" s="18"/>
      <c r="J18" s="16"/>
      <c r="K18" s="46">
        <v>0.15</v>
      </c>
      <c r="L18" s="17" t="s">
        <v>68</v>
      </c>
      <c r="M18" s="19">
        <v>1342</v>
      </c>
      <c r="N18" s="17"/>
      <c r="O18" s="18"/>
    </row>
    <row r="19" spans="2:17" x14ac:dyDescent="0.35">
      <c r="B19" s="16"/>
      <c r="C19" s="46">
        <v>0.15</v>
      </c>
      <c r="D19" s="17" t="s">
        <v>69</v>
      </c>
      <c r="E19" s="19">
        <v>1853</v>
      </c>
      <c r="F19" s="17"/>
      <c r="G19" s="18"/>
      <c r="J19" s="16"/>
      <c r="K19" s="46">
        <v>0.15</v>
      </c>
      <c r="L19" s="17" t="s">
        <v>70</v>
      </c>
      <c r="M19" s="19">
        <v>1517</v>
      </c>
      <c r="N19" s="17"/>
      <c r="O19" s="18"/>
    </row>
    <row r="20" spans="2:17" ht="15" thickBot="1" x14ac:dyDescent="0.4">
      <c r="B20" s="20"/>
      <c r="C20" s="50">
        <f>SUM(C16:C19)</f>
        <v>1</v>
      </c>
      <c r="D20" s="47" t="s">
        <v>42</v>
      </c>
      <c r="E20" s="22"/>
      <c r="F20" s="21"/>
      <c r="G20" s="24"/>
      <c r="J20" s="20"/>
      <c r="K20" s="50">
        <f>SUM(K16:K19)</f>
        <v>1</v>
      </c>
      <c r="L20" s="47" t="s">
        <v>42</v>
      </c>
      <c r="M20" s="22"/>
      <c r="N20" s="21"/>
      <c r="O20" s="24"/>
    </row>
    <row r="21" spans="2:17" x14ac:dyDescent="0.35">
      <c r="E21" s="23"/>
      <c r="M21" s="23"/>
      <c r="Q21" t="s">
        <v>43</v>
      </c>
    </row>
    <row r="22" spans="2:17" ht="19.5" customHeight="1" x14ac:dyDescent="0.45">
      <c r="D22" s="69" t="s">
        <v>44</v>
      </c>
      <c r="E22" s="69"/>
      <c r="F22" s="69"/>
      <c r="G22" s="69"/>
      <c r="H22" s="69"/>
      <c r="I22" s="69"/>
      <c r="J22" s="69"/>
      <c r="K22" s="69"/>
      <c r="L22" s="69"/>
      <c r="M22" s="69"/>
      <c r="N22" s="69"/>
      <c r="O22" s="69"/>
      <c r="P22" s="27"/>
    </row>
    <row r="23" spans="2:17" ht="50.15" customHeight="1" x14ac:dyDescent="0.35">
      <c r="D23" s="53" t="s">
        <v>45</v>
      </c>
      <c r="E23" s="70" t="s">
        <v>46</v>
      </c>
      <c r="F23" s="71"/>
      <c r="G23" s="71"/>
      <c r="H23" s="71"/>
      <c r="I23" s="71"/>
      <c r="J23" s="71"/>
      <c r="K23" s="71"/>
      <c r="L23" s="71"/>
      <c r="M23" s="71"/>
      <c r="N23" s="71"/>
      <c r="O23" s="72"/>
      <c r="P23" s="29"/>
    </row>
    <row r="24" spans="2:17" ht="50.15" customHeight="1" x14ac:dyDescent="0.35">
      <c r="D24" s="30" t="s">
        <v>47</v>
      </c>
      <c r="E24" s="56" t="s">
        <v>48</v>
      </c>
      <c r="F24" s="57"/>
      <c r="G24" s="57"/>
      <c r="H24" s="57"/>
      <c r="I24" s="57"/>
      <c r="J24" s="57"/>
      <c r="K24" s="57"/>
      <c r="L24" s="57"/>
      <c r="M24" s="57"/>
      <c r="N24" s="57"/>
      <c r="O24" s="58"/>
      <c r="P24" s="29"/>
    </row>
    <row r="25" spans="2:17" ht="50.15" customHeight="1" x14ac:dyDescent="0.35">
      <c r="D25" s="54" t="s">
        <v>49</v>
      </c>
      <c r="E25" s="59" t="s">
        <v>50</v>
      </c>
      <c r="F25" s="60"/>
      <c r="G25" s="60"/>
      <c r="H25" s="60"/>
      <c r="I25" s="60"/>
      <c r="J25" s="60"/>
      <c r="K25" s="60"/>
      <c r="L25" s="60"/>
      <c r="M25" s="60"/>
      <c r="N25" s="60"/>
      <c r="O25" s="61"/>
      <c r="P25" s="29"/>
    </row>
    <row r="26" spans="2:17" ht="50.15" customHeight="1" x14ac:dyDescent="0.35">
      <c r="P26" s="29"/>
    </row>
    <row r="27" spans="2:17" ht="50.15" customHeight="1" x14ac:dyDescent="0.35">
      <c r="P27" s="29"/>
    </row>
    <row r="28" spans="2:17" x14ac:dyDescent="0.35">
      <c r="D28" s="32"/>
      <c r="E28" s="33"/>
      <c r="F28" s="33"/>
      <c r="G28" s="33"/>
      <c r="H28" s="33"/>
      <c r="I28" s="33"/>
      <c r="J28" s="33"/>
      <c r="K28" s="33"/>
      <c r="L28" s="33"/>
      <c r="M28" s="33"/>
      <c r="N28" s="33"/>
      <c r="O28" s="33"/>
      <c r="P28" s="33"/>
    </row>
  </sheetData>
  <sheetProtection selectLockedCells="1"/>
  <mergeCells count="13">
    <mergeCell ref="Q5:U12"/>
    <mergeCell ref="D15:E15"/>
    <mergeCell ref="L15:M15"/>
    <mergeCell ref="D22:O22"/>
    <mergeCell ref="E23:O23"/>
    <mergeCell ref="E24:O24"/>
    <mergeCell ref="E25:O25"/>
    <mergeCell ref="D1:O1"/>
    <mergeCell ref="B3:O3"/>
    <mergeCell ref="B5:G5"/>
    <mergeCell ref="J5:O5"/>
    <mergeCell ref="D14:E14"/>
    <mergeCell ref="L14:M1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D165-8D5D-4F23-827F-39C3FFB235B1}">
  <sheetPr codeName="Sheet3"/>
  <dimension ref="B1:Q28"/>
  <sheetViews>
    <sheetView showGridLines="0" topLeftCell="B1" workbookViewId="0">
      <selection activeCell="M20" sqref="M20"/>
    </sheetView>
  </sheetViews>
  <sheetFormatPr defaultRowHeight="14.5" x14ac:dyDescent="0.35"/>
  <cols>
    <col min="1" max="1" width="3.453125" customWidth="1"/>
    <col min="2" max="2" width="8.7265625" customWidth="1"/>
    <col min="3" max="3" width="5.7265625" customWidth="1"/>
    <col min="4" max="4" width="30.81640625" customWidth="1"/>
    <col min="5" max="5" width="37.81640625" customWidth="1"/>
    <col min="6" max="6" width="10.81640625" customWidth="1"/>
    <col min="7" max="7" width="1.7265625" customWidth="1"/>
    <col min="8" max="9" width="3.453125" customWidth="1"/>
    <col min="10" max="10" width="9.7265625" customWidth="1"/>
    <col min="11" max="11" width="5.7265625" customWidth="1"/>
    <col min="12" max="12" width="32.54296875" customWidth="1"/>
    <col min="13" max="13" width="37.54296875" customWidth="1"/>
    <col min="14" max="14" width="10.7265625" customWidth="1"/>
    <col min="15" max="15" width="1.26953125" customWidth="1"/>
    <col min="16" max="16" width="3.453125" customWidth="1"/>
  </cols>
  <sheetData>
    <row r="1" spans="2:15" ht="23.5" x14ac:dyDescent="0.55000000000000004">
      <c r="D1" s="62" t="s">
        <v>51</v>
      </c>
      <c r="E1" s="62"/>
      <c r="F1" s="62"/>
      <c r="G1" s="62"/>
      <c r="H1" s="62"/>
      <c r="I1" s="62"/>
      <c r="J1" s="62"/>
      <c r="K1" s="62"/>
      <c r="L1" s="62"/>
      <c r="M1" s="62"/>
      <c r="N1" s="62"/>
      <c r="O1" s="62"/>
    </row>
    <row r="2" spans="2:15" ht="9" customHeight="1" thickBot="1" x14ac:dyDescent="0.6">
      <c r="D2" s="3"/>
      <c r="E2" s="3"/>
      <c r="F2" s="3"/>
      <c r="G2" s="3"/>
      <c r="H2" s="3"/>
      <c r="I2" s="3"/>
      <c r="J2" s="3"/>
      <c r="K2" s="3"/>
      <c r="L2" s="3"/>
      <c r="M2" s="3"/>
      <c r="N2" s="3"/>
      <c r="O2" s="3"/>
    </row>
    <row r="3" spans="2:15" ht="51" customHeight="1" thickBot="1" x14ac:dyDescent="0.4">
      <c r="B3" s="63" t="s">
        <v>71</v>
      </c>
      <c r="C3" s="63"/>
      <c r="D3" s="63"/>
      <c r="E3" s="63"/>
      <c r="F3" s="63"/>
      <c r="G3" s="63"/>
      <c r="H3" s="63"/>
      <c r="I3" s="63"/>
      <c r="J3" s="63"/>
      <c r="K3" s="63"/>
      <c r="L3" s="63"/>
      <c r="M3" s="63"/>
      <c r="N3" s="63"/>
      <c r="O3" s="63"/>
    </row>
    <row r="4" spans="2:15" ht="9.75" customHeight="1" thickBot="1" x14ac:dyDescent="0.4"/>
    <row r="5" spans="2:15" ht="30.75" customHeight="1" x14ac:dyDescent="0.35">
      <c r="B5" s="64" t="s">
        <v>72</v>
      </c>
      <c r="C5" s="65"/>
      <c r="D5" s="65"/>
      <c r="E5" s="65"/>
      <c r="F5" s="65"/>
      <c r="G5" s="66"/>
      <c r="J5" s="64" t="s">
        <v>73</v>
      </c>
      <c r="K5" s="65"/>
      <c r="L5" s="65"/>
      <c r="M5" s="65"/>
      <c r="N5" s="65"/>
      <c r="O5" s="66"/>
    </row>
    <row r="6" spans="2:15" ht="9" customHeight="1" x14ac:dyDescent="0.35">
      <c r="B6" s="4"/>
      <c r="D6" s="5"/>
      <c r="E6" s="5"/>
      <c r="F6" s="5"/>
      <c r="G6" s="6"/>
      <c r="J6" s="4"/>
      <c r="L6" s="5"/>
      <c r="M6" s="5"/>
      <c r="N6" s="5"/>
      <c r="O6" s="6"/>
    </row>
    <row r="7" spans="2:15" x14ac:dyDescent="0.35">
      <c r="B7" s="4"/>
      <c r="D7" s="7" t="s">
        <v>6</v>
      </c>
      <c r="E7" s="7" t="s">
        <v>20</v>
      </c>
      <c r="G7" s="8"/>
      <c r="J7" s="4"/>
      <c r="L7" s="7" t="s">
        <v>6</v>
      </c>
      <c r="M7" s="7" t="s">
        <v>20</v>
      </c>
      <c r="O7" s="8"/>
    </row>
    <row r="8" spans="2:15" x14ac:dyDescent="0.35">
      <c r="B8" s="4"/>
      <c r="D8" s="9" t="s">
        <v>7</v>
      </c>
      <c r="E8" s="10">
        <v>92</v>
      </c>
      <c r="G8" s="8"/>
      <c r="J8" s="4"/>
      <c r="L8" s="11" t="s">
        <v>8</v>
      </c>
      <c r="M8" s="10">
        <v>46</v>
      </c>
      <c r="O8" s="8"/>
    </row>
    <row r="9" spans="2:15" ht="29" x14ac:dyDescent="0.35">
      <c r="B9" s="4"/>
      <c r="D9" s="9" t="s">
        <v>74</v>
      </c>
      <c r="E9" s="12" t="s">
        <v>128</v>
      </c>
      <c r="G9" s="8"/>
      <c r="J9" s="4"/>
      <c r="L9" s="11" t="s">
        <v>75</v>
      </c>
      <c r="M9" s="10" t="s">
        <v>130</v>
      </c>
      <c r="O9" s="8"/>
    </row>
    <row r="10" spans="2:15" x14ac:dyDescent="0.35">
      <c r="B10" s="4"/>
      <c r="D10" s="9" t="s">
        <v>11</v>
      </c>
      <c r="E10" s="10">
        <v>601</v>
      </c>
      <c r="G10" s="8"/>
      <c r="J10" s="4"/>
      <c r="L10" s="11" t="s">
        <v>12</v>
      </c>
      <c r="M10" s="10">
        <v>301</v>
      </c>
      <c r="O10" s="8"/>
    </row>
    <row r="11" spans="2:15" x14ac:dyDescent="0.35">
      <c r="B11" s="4"/>
      <c r="D11" s="9" t="s">
        <v>76</v>
      </c>
      <c r="E11" s="12" t="s">
        <v>129</v>
      </c>
      <c r="G11" s="8"/>
      <c r="J11" s="4"/>
      <c r="L11" s="11" t="s">
        <v>15</v>
      </c>
      <c r="M11" s="10" t="s">
        <v>131</v>
      </c>
      <c r="O11" s="8"/>
    </row>
    <row r="12" spans="2:15" x14ac:dyDescent="0.35">
      <c r="B12" s="13"/>
      <c r="C12" s="14"/>
      <c r="D12" s="14"/>
      <c r="E12" s="14"/>
      <c r="F12" s="14"/>
      <c r="G12" s="15"/>
      <c r="J12" s="13"/>
      <c r="K12" s="14"/>
      <c r="L12" s="14"/>
      <c r="M12" s="14"/>
      <c r="N12" s="14"/>
      <c r="O12" s="15"/>
    </row>
    <row r="13" spans="2:15" ht="5.25" customHeight="1" x14ac:dyDescent="0.35">
      <c r="B13" s="16"/>
      <c r="C13" s="17"/>
      <c r="D13" s="17"/>
      <c r="E13" s="17"/>
      <c r="F13" s="17"/>
      <c r="G13" s="18"/>
      <c r="J13" s="16"/>
      <c r="K13" s="17"/>
      <c r="L13" s="17"/>
      <c r="M13" s="17"/>
      <c r="N13" s="17"/>
      <c r="O13" s="18"/>
    </row>
    <row r="14" spans="2:15" x14ac:dyDescent="0.35">
      <c r="B14" s="16"/>
      <c r="C14" s="17"/>
      <c r="D14" s="67" t="s">
        <v>62</v>
      </c>
      <c r="E14" s="67"/>
      <c r="F14" s="34">
        <v>100</v>
      </c>
      <c r="G14" s="25"/>
      <c r="J14" s="16"/>
      <c r="K14" s="17"/>
      <c r="L14" s="67" t="s">
        <v>63</v>
      </c>
      <c r="M14" s="67"/>
      <c r="N14" s="34">
        <v>100</v>
      </c>
      <c r="O14" s="18"/>
    </row>
    <row r="15" spans="2:15" ht="15.5" x14ac:dyDescent="0.35">
      <c r="B15" s="16"/>
      <c r="C15" s="17"/>
      <c r="D15" s="67" t="s">
        <v>33</v>
      </c>
      <c r="E15" s="67"/>
      <c r="F15" s="51">
        <f>((F14*C16)*E16)+((F14*C17)*E17)+((F14*C18)*E18)+((F14*C19)*E19)</f>
        <v>38290</v>
      </c>
      <c r="G15" s="26"/>
      <c r="J15" s="16"/>
      <c r="K15" s="17"/>
      <c r="L15" s="67" t="s">
        <v>33</v>
      </c>
      <c r="M15" s="67"/>
      <c r="N15" s="51">
        <f>((N14*K16)*M16)+((N14*K17)*M17)+((N14*K18)*M18)+((N14*K19)*M19)</f>
        <v>21155</v>
      </c>
      <c r="O15" s="18"/>
    </row>
    <row r="16" spans="2:15" x14ac:dyDescent="0.35">
      <c r="B16" s="16"/>
      <c r="C16" s="46">
        <v>0.4</v>
      </c>
      <c r="D16" s="17" t="s">
        <v>77</v>
      </c>
      <c r="E16" s="19">
        <v>92</v>
      </c>
      <c r="F16" s="17"/>
      <c r="G16" s="18"/>
      <c r="J16" s="16"/>
      <c r="K16" s="46">
        <v>0.4</v>
      </c>
      <c r="L16" s="17" t="s">
        <v>77</v>
      </c>
      <c r="M16" s="19">
        <v>46</v>
      </c>
      <c r="N16" s="17"/>
      <c r="O16" s="18"/>
    </row>
    <row r="17" spans="2:17" x14ac:dyDescent="0.35">
      <c r="B17" s="16"/>
      <c r="C17" s="46">
        <v>0.1</v>
      </c>
      <c r="D17" s="17" t="s">
        <v>78</v>
      </c>
      <c r="E17" s="19">
        <v>318</v>
      </c>
      <c r="F17" s="17"/>
      <c r="G17" s="18"/>
      <c r="J17" s="16"/>
      <c r="K17" s="46">
        <v>0.1</v>
      </c>
      <c r="L17" s="17" t="s">
        <v>78</v>
      </c>
      <c r="M17" s="19">
        <v>296</v>
      </c>
      <c r="N17" s="17"/>
      <c r="O17" s="18"/>
    </row>
    <row r="18" spans="2:17" x14ac:dyDescent="0.35">
      <c r="B18" s="16"/>
      <c r="C18" s="46">
        <v>0.35</v>
      </c>
      <c r="D18" s="17" t="s">
        <v>79</v>
      </c>
      <c r="E18" s="19">
        <v>601</v>
      </c>
      <c r="F18" s="17"/>
      <c r="G18" s="18"/>
      <c r="J18" s="16"/>
      <c r="K18" s="46">
        <v>0.35</v>
      </c>
      <c r="L18" s="17" t="s">
        <v>79</v>
      </c>
      <c r="M18" s="19">
        <v>301</v>
      </c>
      <c r="N18" s="17"/>
      <c r="O18" s="18"/>
    </row>
    <row r="19" spans="2:17" x14ac:dyDescent="0.35">
      <c r="B19" s="16"/>
      <c r="C19" s="46">
        <v>0.15</v>
      </c>
      <c r="D19" s="17" t="s">
        <v>80</v>
      </c>
      <c r="E19" s="19">
        <v>693</v>
      </c>
      <c r="F19" s="17"/>
      <c r="G19" s="18"/>
      <c r="J19" s="16"/>
      <c r="K19" s="46">
        <v>0.15</v>
      </c>
      <c r="L19" s="17" t="s">
        <v>80</v>
      </c>
      <c r="M19" s="19">
        <v>388</v>
      </c>
      <c r="N19" s="17"/>
      <c r="O19" s="18"/>
    </row>
    <row r="20" spans="2:17" ht="15" thickBot="1" x14ac:dyDescent="0.4">
      <c r="B20" s="20"/>
      <c r="C20" s="50">
        <f>SUM(C16:C19)</f>
        <v>1</v>
      </c>
      <c r="D20" s="47" t="s">
        <v>42</v>
      </c>
      <c r="E20" s="22"/>
      <c r="F20" s="21"/>
      <c r="G20" s="24"/>
      <c r="J20" s="20"/>
      <c r="K20" s="50">
        <f>SUM(K16:K19)</f>
        <v>1</v>
      </c>
      <c r="L20" s="47" t="s">
        <v>42</v>
      </c>
      <c r="M20" s="22"/>
      <c r="N20" s="21"/>
      <c r="O20" s="24"/>
    </row>
    <row r="21" spans="2:17" x14ac:dyDescent="0.35">
      <c r="E21" s="23"/>
      <c r="M21" s="23"/>
      <c r="Q21" t="s">
        <v>43</v>
      </c>
    </row>
    <row r="22" spans="2:17" ht="19" thickBot="1" x14ac:dyDescent="0.5">
      <c r="D22" s="69" t="s">
        <v>81</v>
      </c>
      <c r="E22" s="69"/>
      <c r="F22" s="69"/>
      <c r="G22" s="69"/>
      <c r="H22" s="69"/>
      <c r="I22" s="69"/>
      <c r="J22" s="69"/>
      <c r="K22" s="69"/>
      <c r="L22" s="69"/>
      <c r="M22" s="69"/>
      <c r="N22" s="69"/>
      <c r="O22" s="69"/>
      <c r="P22" s="27"/>
    </row>
    <row r="23" spans="2:17" ht="50.15" customHeight="1" x14ac:dyDescent="0.35">
      <c r="D23" s="28" t="s">
        <v>82</v>
      </c>
      <c r="E23" s="70" t="s">
        <v>46</v>
      </c>
      <c r="F23" s="71"/>
      <c r="G23" s="71"/>
      <c r="H23" s="71"/>
      <c r="I23" s="71"/>
      <c r="J23" s="71"/>
      <c r="K23" s="71"/>
      <c r="L23" s="71"/>
      <c r="M23" s="71"/>
      <c r="N23" s="71"/>
      <c r="O23" s="72"/>
      <c r="P23" s="29"/>
    </row>
    <row r="24" spans="2:17" ht="50.15" customHeight="1" x14ac:dyDescent="0.35">
      <c r="D24" s="30" t="s">
        <v>83</v>
      </c>
      <c r="E24" s="56" t="s">
        <v>48</v>
      </c>
      <c r="F24" s="57"/>
      <c r="G24" s="57"/>
      <c r="H24" s="57"/>
      <c r="I24" s="57"/>
      <c r="J24" s="57"/>
      <c r="K24" s="57"/>
      <c r="L24" s="57"/>
      <c r="M24" s="57"/>
      <c r="N24" s="57"/>
      <c r="O24" s="58"/>
      <c r="P24" s="29"/>
    </row>
    <row r="25" spans="2:17" ht="50.15" customHeight="1" x14ac:dyDescent="0.35">
      <c r="D25" s="30" t="s">
        <v>84</v>
      </c>
      <c r="E25" s="56" t="s">
        <v>50</v>
      </c>
      <c r="F25" s="57"/>
      <c r="G25" s="57"/>
      <c r="H25" s="57"/>
      <c r="I25" s="57"/>
      <c r="J25" s="57"/>
      <c r="K25" s="57"/>
      <c r="L25" s="57"/>
      <c r="M25" s="57"/>
      <c r="N25" s="57"/>
      <c r="O25" s="58"/>
      <c r="P25" s="29"/>
    </row>
    <row r="26" spans="2:17" ht="50.15" customHeight="1" x14ac:dyDescent="0.35">
      <c r="D26" s="30" t="s">
        <v>85</v>
      </c>
      <c r="E26" s="56" t="s">
        <v>86</v>
      </c>
      <c r="F26" s="57"/>
      <c r="G26" s="57"/>
      <c r="H26" s="57"/>
      <c r="I26" s="57"/>
      <c r="J26" s="57"/>
      <c r="K26" s="57"/>
      <c r="L26" s="57"/>
      <c r="M26" s="57"/>
      <c r="N26" s="57"/>
      <c r="O26" s="58"/>
      <c r="P26" s="29"/>
    </row>
    <row r="27" spans="2:17" ht="50.15" customHeight="1" thickBot="1" x14ac:dyDescent="0.4">
      <c r="D27" s="31" t="s">
        <v>87</v>
      </c>
      <c r="E27" s="73" t="s">
        <v>88</v>
      </c>
      <c r="F27" s="74"/>
      <c r="G27" s="74"/>
      <c r="H27" s="74"/>
      <c r="I27" s="74"/>
      <c r="J27" s="74"/>
      <c r="K27" s="74"/>
      <c r="L27" s="74"/>
      <c r="M27" s="74"/>
      <c r="N27" s="74"/>
      <c r="O27" s="75"/>
      <c r="P27" s="29"/>
    </row>
    <row r="28" spans="2:17" x14ac:dyDescent="0.35">
      <c r="D28" s="32"/>
      <c r="E28" s="33"/>
      <c r="F28" s="33"/>
      <c r="G28" s="33"/>
      <c r="H28" s="33"/>
      <c r="I28" s="33"/>
      <c r="J28" s="33"/>
      <c r="K28" s="33"/>
      <c r="L28" s="33"/>
      <c r="M28" s="33"/>
      <c r="N28" s="33"/>
      <c r="O28" s="33"/>
      <c r="P28" s="33"/>
    </row>
  </sheetData>
  <sheetProtection selectLockedCells="1"/>
  <mergeCells count="14">
    <mergeCell ref="E24:O24"/>
    <mergeCell ref="E25:O25"/>
    <mergeCell ref="E26:O26"/>
    <mergeCell ref="E27:O27"/>
    <mergeCell ref="D14:E14"/>
    <mergeCell ref="D15:E15"/>
    <mergeCell ref="L14:M14"/>
    <mergeCell ref="L15:M15"/>
    <mergeCell ref="D1:O1"/>
    <mergeCell ref="B5:G5"/>
    <mergeCell ref="J5:O5"/>
    <mergeCell ref="E23:O23"/>
    <mergeCell ref="D22:O22"/>
    <mergeCell ref="B3:O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70D44-5577-48D2-82B6-00EE7529EC9B}">
  <sheetPr codeName="Sheet5"/>
  <dimension ref="B1:T26"/>
  <sheetViews>
    <sheetView showGridLines="0" workbookViewId="0">
      <selection activeCell="B3" sqref="B3:O3"/>
    </sheetView>
  </sheetViews>
  <sheetFormatPr defaultRowHeight="14.5" x14ac:dyDescent="0.35"/>
  <cols>
    <col min="1" max="1" width="3.453125" customWidth="1"/>
    <col min="2" max="2" width="8.7265625" customWidth="1"/>
    <col min="3" max="3" width="5.7265625" customWidth="1"/>
    <col min="4" max="4" width="38" customWidth="1"/>
    <col min="5" max="5" width="36.81640625" customWidth="1"/>
    <col min="6" max="6" width="10.81640625" customWidth="1"/>
    <col min="7" max="7" width="1.7265625" customWidth="1"/>
    <col min="8" max="9" width="3.453125" customWidth="1"/>
    <col min="10" max="10" width="9.7265625" customWidth="1"/>
    <col min="11" max="11" width="5.7265625" customWidth="1"/>
    <col min="12" max="12" width="39.81640625" customWidth="1"/>
    <col min="13" max="13" width="37.54296875" customWidth="1"/>
    <col min="14" max="14" width="10.7265625" customWidth="1"/>
    <col min="15" max="15" width="1.26953125" customWidth="1"/>
    <col min="16" max="16" width="3.453125" customWidth="1"/>
  </cols>
  <sheetData>
    <row r="1" spans="2:20" ht="23.5" x14ac:dyDescent="0.55000000000000004">
      <c r="D1" s="62" t="s">
        <v>16</v>
      </c>
      <c r="E1" s="62"/>
      <c r="F1" s="62"/>
      <c r="G1" s="62"/>
      <c r="H1" s="62"/>
      <c r="I1" s="62"/>
      <c r="J1" s="62"/>
      <c r="K1" s="62"/>
      <c r="L1" s="62"/>
      <c r="M1" s="62"/>
      <c r="N1" s="62"/>
      <c r="O1" s="62"/>
    </row>
    <row r="2" spans="2:20" ht="9" customHeight="1" thickBot="1" x14ac:dyDescent="0.6">
      <c r="D2" s="3"/>
      <c r="E2" s="3"/>
      <c r="F2" s="3"/>
      <c r="G2" s="3"/>
      <c r="H2" s="3"/>
      <c r="I2" s="3"/>
      <c r="J2" s="3"/>
      <c r="K2" s="3"/>
      <c r="L2" s="3"/>
      <c r="M2" s="3"/>
      <c r="N2" s="3"/>
      <c r="O2" s="3"/>
    </row>
    <row r="3" spans="2:20" ht="51" customHeight="1" thickBot="1" x14ac:dyDescent="0.4">
      <c r="B3" s="63" t="s">
        <v>17</v>
      </c>
      <c r="C3" s="63"/>
      <c r="D3" s="63"/>
      <c r="E3" s="63"/>
      <c r="F3" s="63"/>
      <c r="G3" s="63"/>
      <c r="H3" s="63"/>
      <c r="I3" s="63"/>
      <c r="J3" s="63"/>
      <c r="K3" s="63"/>
      <c r="L3" s="63"/>
      <c r="M3" s="63"/>
      <c r="N3" s="63"/>
      <c r="O3" s="63"/>
    </row>
    <row r="4" spans="2:20" ht="9.75" customHeight="1" thickBot="1" x14ac:dyDescent="0.4"/>
    <row r="5" spans="2:20" ht="30.75" customHeight="1" x14ac:dyDescent="0.35">
      <c r="B5" s="64" t="s">
        <v>18</v>
      </c>
      <c r="C5" s="65"/>
      <c r="D5" s="65"/>
      <c r="E5" s="65"/>
      <c r="F5" s="65"/>
      <c r="G5" s="66"/>
      <c r="J5" s="64" t="s">
        <v>19</v>
      </c>
      <c r="K5" s="65"/>
      <c r="L5" s="65"/>
      <c r="M5" s="65"/>
      <c r="N5" s="65"/>
      <c r="O5" s="66"/>
    </row>
    <row r="6" spans="2:20" ht="9" customHeight="1" x14ac:dyDescent="0.35">
      <c r="B6" s="4"/>
      <c r="D6" s="5"/>
      <c r="E6" s="5"/>
      <c r="F6" s="5"/>
      <c r="G6" s="6"/>
      <c r="J6" s="4"/>
      <c r="L6" s="5"/>
      <c r="M6" s="5"/>
      <c r="N6" s="5"/>
      <c r="O6" s="6"/>
    </row>
    <row r="7" spans="2:20" x14ac:dyDescent="0.35">
      <c r="B7" s="4"/>
      <c r="D7" s="7" t="s">
        <v>6</v>
      </c>
      <c r="E7" s="7" t="s">
        <v>20</v>
      </c>
      <c r="G7" s="8"/>
      <c r="J7" s="4"/>
      <c r="L7" s="7" t="s">
        <v>6</v>
      </c>
      <c r="M7" s="7" t="s">
        <v>20</v>
      </c>
      <c r="O7" s="8"/>
      <c r="Q7" s="76" t="s">
        <v>21</v>
      </c>
      <c r="R7" s="76"/>
      <c r="S7" s="76"/>
      <c r="T7" s="76"/>
    </row>
    <row r="8" spans="2:20" ht="29" x14ac:dyDescent="0.35">
      <c r="B8" s="4"/>
      <c r="D8" s="9" t="s">
        <v>22</v>
      </c>
      <c r="E8" s="10">
        <v>0</v>
      </c>
      <c r="G8" s="8"/>
      <c r="J8" s="4"/>
      <c r="L8" s="11" t="s">
        <v>23</v>
      </c>
      <c r="M8" s="10">
        <v>0</v>
      </c>
      <c r="O8" s="8"/>
      <c r="Q8" s="76"/>
      <c r="R8" s="76"/>
      <c r="S8" s="76"/>
      <c r="T8" s="76"/>
    </row>
    <row r="9" spans="2:20" x14ac:dyDescent="0.35">
      <c r="B9" s="4"/>
      <c r="D9" s="9" t="s">
        <v>24</v>
      </c>
      <c r="E9" s="52">
        <v>252</v>
      </c>
      <c r="G9" s="8"/>
      <c r="J9" s="4"/>
      <c r="L9" s="11" t="s">
        <v>25</v>
      </c>
      <c r="M9" s="10">
        <v>175</v>
      </c>
      <c r="O9" s="8"/>
      <c r="Q9" s="76"/>
      <c r="R9" s="76"/>
      <c r="S9" s="76"/>
      <c r="T9" s="76"/>
    </row>
    <row r="10" spans="2:20" x14ac:dyDescent="0.35">
      <c r="B10" s="4"/>
      <c r="D10" s="9" t="s">
        <v>26</v>
      </c>
      <c r="E10" s="10">
        <v>1000</v>
      </c>
      <c r="G10" s="8"/>
      <c r="J10" s="4"/>
      <c r="L10" s="11" t="s">
        <v>26</v>
      </c>
      <c r="M10" s="10">
        <v>1000</v>
      </c>
      <c r="O10" s="8"/>
      <c r="Q10" s="76"/>
      <c r="R10" s="76"/>
      <c r="S10" s="76"/>
      <c r="T10" s="76"/>
    </row>
    <row r="11" spans="2:20" ht="42.75" customHeight="1" x14ac:dyDescent="0.35">
      <c r="B11" s="4"/>
      <c r="D11" s="9" t="s">
        <v>27</v>
      </c>
      <c r="E11" s="12" t="s">
        <v>28</v>
      </c>
      <c r="G11" s="8"/>
      <c r="J11" s="4"/>
      <c r="L11" s="11" t="s">
        <v>29</v>
      </c>
      <c r="M11" s="10" t="s">
        <v>30</v>
      </c>
      <c r="O11" s="8"/>
      <c r="Q11" s="76"/>
      <c r="R11" s="76"/>
      <c r="S11" s="76"/>
      <c r="T11" s="76"/>
    </row>
    <row r="12" spans="2:20" x14ac:dyDescent="0.35">
      <c r="B12" s="13"/>
      <c r="C12" s="14"/>
      <c r="D12" s="14"/>
      <c r="E12" s="14"/>
      <c r="F12" s="14"/>
      <c r="G12" s="15"/>
      <c r="J12" s="13"/>
      <c r="K12" s="14"/>
      <c r="L12" s="14"/>
      <c r="M12" s="14"/>
      <c r="N12" s="14"/>
      <c r="O12" s="15"/>
      <c r="Q12" s="76"/>
      <c r="R12" s="76"/>
      <c r="S12" s="76"/>
      <c r="T12" s="76"/>
    </row>
    <row r="13" spans="2:20" ht="5.25" customHeight="1" x14ac:dyDescent="0.35">
      <c r="B13" s="16"/>
      <c r="C13" s="17"/>
      <c r="D13" s="17"/>
      <c r="E13" s="17"/>
      <c r="F13" s="17"/>
      <c r="G13" s="18"/>
      <c r="J13" s="16"/>
      <c r="K13" s="17"/>
      <c r="L13" s="17"/>
      <c r="M13" s="17"/>
      <c r="N13" s="17"/>
      <c r="O13" s="18"/>
      <c r="Q13" s="76"/>
      <c r="R13" s="76"/>
      <c r="S13" s="76"/>
      <c r="T13" s="76"/>
    </row>
    <row r="14" spans="2:20" x14ac:dyDescent="0.35">
      <c r="B14" s="16"/>
      <c r="C14" s="17"/>
      <c r="D14" s="67" t="s">
        <v>31</v>
      </c>
      <c r="E14" s="67"/>
      <c r="F14" s="34">
        <v>100</v>
      </c>
      <c r="G14" s="25"/>
      <c r="J14" s="16"/>
      <c r="K14" s="17"/>
      <c r="L14" s="67" t="s">
        <v>32</v>
      </c>
      <c r="M14" s="67"/>
      <c r="N14" s="34">
        <v>100</v>
      </c>
      <c r="O14" s="18"/>
    </row>
    <row r="15" spans="2:20" ht="15.5" x14ac:dyDescent="0.35">
      <c r="B15" s="16"/>
      <c r="C15" s="17"/>
      <c r="D15" s="67" t="s">
        <v>33</v>
      </c>
      <c r="E15" s="67"/>
      <c r="F15" s="51">
        <f>((F14*C16)*E16)+((F14*C17)*E17)+((F14*C18)*E18)+((F14*C19)*E19)</f>
        <v>36300</v>
      </c>
      <c r="G15" s="26"/>
      <c r="J15" s="16"/>
      <c r="K15" s="17"/>
      <c r="L15" s="67" t="s">
        <v>34</v>
      </c>
      <c r="M15" s="67"/>
      <c r="N15" s="51">
        <f>((N14*K16)*M16)+((N14*K17)*M17)+((N14*K18)*M18)+((N14*K19)*M19)</f>
        <v>34375</v>
      </c>
      <c r="O15" s="18"/>
    </row>
    <row r="16" spans="2:20" x14ac:dyDescent="0.35">
      <c r="B16" s="16"/>
      <c r="C16" s="46">
        <v>0.6</v>
      </c>
      <c r="D16" s="17" t="s">
        <v>35</v>
      </c>
      <c r="E16" s="19">
        <v>0</v>
      </c>
      <c r="F16" s="17"/>
      <c r="G16" s="18"/>
      <c r="J16" s="16"/>
      <c r="K16" s="46">
        <v>0.6</v>
      </c>
      <c r="L16" s="17" t="s">
        <v>36</v>
      </c>
      <c r="M16" s="19">
        <v>0</v>
      </c>
      <c r="N16" s="17"/>
      <c r="O16" s="18"/>
    </row>
    <row r="17" spans="2:17" x14ac:dyDescent="0.35">
      <c r="B17" s="16"/>
      <c r="C17" s="46">
        <v>0.1</v>
      </c>
      <c r="D17" s="17" t="s">
        <v>37</v>
      </c>
      <c r="E17" s="19">
        <v>252</v>
      </c>
      <c r="F17" s="17"/>
      <c r="G17" s="18"/>
      <c r="J17" s="16"/>
      <c r="K17" s="46">
        <v>0.1</v>
      </c>
      <c r="L17" s="17" t="s">
        <v>38</v>
      </c>
      <c r="M17" s="19">
        <v>175</v>
      </c>
      <c r="N17" s="17"/>
      <c r="O17" s="18"/>
    </row>
    <row r="18" spans="2:17" x14ac:dyDescent="0.35">
      <c r="B18" s="16"/>
      <c r="C18" s="46">
        <v>0.15</v>
      </c>
      <c r="D18" s="17" t="s">
        <v>39</v>
      </c>
      <c r="E18" s="19">
        <v>1000</v>
      </c>
      <c r="F18" s="17"/>
      <c r="G18" s="18"/>
      <c r="J18" s="16"/>
      <c r="K18" s="46">
        <v>0.15</v>
      </c>
      <c r="L18" s="17" t="s">
        <v>39</v>
      </c>
      <c r="M18" s="19">
        <v>1000</v>
      </c>
      <c r="N18" s="17"/>
      <c r="O18" s="18"/>
    </row>
    <row r="19" spans="2:17" x14ac:dyDescent="0.35">
      <c r="B19" s="16"/>
      <c r="C19" s="46">
        <v>0.15</v>
      </c>
      <c r="D19" s="17" t="s">
        <v>40</v>
      </c>
      <c r="E19" s="19">
        <v>1252</v>
      </c>
      <c r="F19" s="17"/>
      <c r="G19" s="18"/>
      <c r="J19" s="16"/>
      <c r="K19" s="46">
        <v>0.15</v>
      </c>
      <c r="L19" s="17" t="s">
        <v>41</v>
      </c>
      <c r="M19" s="19">
        <v>1175</v>
      </c>
      <c r="N19" s="17"/>
      <c r="O19" s="18"/>
    </row>
    <row r="20" spans="2:17" ht="15" thickBot="1" x14ac:dyDescent="0.4">
      <c r="B20" s="20"/>
      <c r="C20" s="50">
        <f>SUM(C16:C19)</f>
        <v>1</v>
      </c>
      <c r="D20" s="47" t="s">
        <v>42</v>
      </c>
      <c r="E20" s="22"/>
      <c r="F20" s="21"/>
      <c r="G20" s="24"/>
      <c r="J20" s="20"/>
      <c r="K20" s="50">
        <f>SUM(K16:K19)</f>
        <v>1</v>
      </c>
      <c r="L20" s="47" t="s">
        <v>42</v>
      </c>
      <c r="M20" s="22"/>
      <c r="N20" s="21"/>
      <c r="O20" s="24"/>
    </row>
    <row r="21" spans="2:17" x14ac:dyDescent="0.35">
      <c r="E21" s="23"/>
      <c r="M21" s="23"/>
      <c r="Q21" t="s">
        <v>43</v>
      </c>
    </row>
    <row r="22" spans="2:17" ht="19" thickBot="1" x14ac:dyDescent="0.5">
      <c r="D22" s="69" t="s">
        <v>44</v>
      </c>
      <c r="E22" s="69"/>
      <c r="F22" s="69"/>
      <c r="G22" s="69"/>
      <c r="H22" s="69"/>
      <c r="I22" s="69"/>
      <c r="J22" s="69"/>
      <c r="K22" s="69"/>
      <c r="L22" s="69"/>
      <c r="M22" s="69"/>
      <c r="N22" s="69"/>
      <c r="O22" s="69"/>
      <c r="P22" s="27"/>
    </row>
    <row r="23" spans="2:17" ht="50.15" customHeight="1" x14ac:dyDescent="0.35">
      <c r="D23" s="53" t="s">
        <v>45</v>
      </c>
      <c r="E23" s="70" t="s">
        <v>46</v>
      </c>
      <c r="F23" s="71"/>
      <c r="G23" s="71"/>
      <c r="H23" s="71"/>
      <c r="I23" s="71"/>
      <c r="J23" s="71"/>
      <c r="K23" s="71"/>
      <c r="L23" s="71"/>
      <c r="M23" s="71"/>
      <c r="N23" s="71"/>
      <c r="O23" s="72"/>
      <c r="P23" s="29"/>
    </row>
    <row r="24" spans="2:17" ht="50.15" customHeight="1" x14ac:dyDescent="0.35">
      <c r="D24" s="30" t="s">
        <v>47</v>
      </c>
      <c r="E24" s="56" t="s">
        <v>48</v>
      </c>
      <c r="F24" s="57"/>
      <c r="G24" s="57"/>
      <c r="H24" s="57"/>
      <c r="I24" s="57"/>
      <c r="J24" s="57"/>
      <c r="K24" s="57"/>
      <c r="L24" s="57"/>
      <c r="M24" s="57"/>
      <c r="N24" s="57"/>
      <c r="O24" s="58"/>
      <c r="P24" s="29"/>
    </row>
    <row r="25" spans="2:17" ht="50.15" customHeight="1" x14ac:dyDescent="0.35">
      <c r="D25" s="54" t="s">
        <v>49</v>
      </c>
      <c r="E25" s="59" t="s">
        <v>50</v>
      </c>
      <c r="F25" s="60"/>
      <c r="G25" s="60"/>
      <c r="H25" s="60"/>
      <c r="I25" s="60"/>
      <c r="J25" s="60"/>
      <c r="K25" s="60"/>
      <c r="L25" s="60"/>
      <c r="M25" s="60"/>
      <c r="N25" s="60"/>
      <c r="O25" s="61"/>
      <c r="P25" s="29"/>
    </row>
    <row r="26" spans="2:17" x14ac:dyDescent="0.35">
      <c r="D26" s="32"/>
      <c r="E26" s="33"/>
      <c r="F26" s="33"/>
      <c r="G26" s="33"/>
      <c r="H26" s="33"/>
      <c r="I26" s="33"/>
      <c r="J26" s="33"/>
      <c r="K26" s="33"/>
      <c r="L26" s="33"/>
      <c r="M26" s="33"/>
      <c r="N26" s="33"/>
      <c r="O26" s="33"/>
      <c r="P26" s="33"/>
    </row>
  </sheetData>
  <sheetProtection selectLockedCells="1"/>
  <mergeCells count="13">
    <mergeCell ref="Q7:T13"/>
    <mergeCell ref="D15:E15"/>
    <mergeCell ref="L15:M15"/>
    <mergeCell ref="D22:O22"/>
    <mergeCell ref="E23:O23"/>
    <mergeCell ref="E24:O24"/>
    <mergeCell ref="E25:O25"/>
    <mergeCell ref="D1:O1"/>
    <mergeCell ref="B3:O3"/>
    <mergeCell ref="B5:G5"/>
    <mergeCell ref="J5:O5"/>
    <mergeCell ref="D14:E14"/>
    <mergeCell ref="L14:M1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D070-F19C-4254-BF01-013FE9C18636}">
  <sheetPr codeName="Sheet4"/>
  <dimension ref="B1:N190"/>
  <sheetViews>
    <sheetView zoomScaleNormal="100" workbookViewId="0">
      <selection activeCell="E17" sqref="E17"/>
    </sheetView>
  </sheetViews>
  <sheetFormatPr defaultColWidth="8.81640625" defaultRowHeight="12.5" x14ac:dyDescent="0.25"/>
  <cols>
    <col min="1" max="1" width="3.1796875" style="35" customWidth="1"/>
    <col min="2" max="2" width="13.54296875" style="35" customWidth="1"/>
    <col min="3" max="3" width="24" style="35" customWidth="1"/>
    <col min="4" max="4" width="14.54296875" style="35" customWidth="1"/>
    <col min="5" max="5" width="17.7265625" style="35" customWidth="1"/>
    <col min="6" max="6" width="10.54296875" style="35" hidden="1" customWidth="1"/>
    <col min="7" max="8" width="8.81640625" style="35"/>
    <col min="9" max="9" width="13" style="35" customWidth="1"/>
    <col min="10" max="10" width="27.7265625" style="35" customWidth="1"/>
    <col min="11" max="11" width="32.7265625" style="35" customWidth="1"/>
    <col min="12" max="12" width="15.26953125" style="35" customWidth="1"/>
    <col min="13" max="13" width="11.26953125" style="35" hidden="1" customWidth="1"/>
    <col min="14" max="16384" width="8.81640625" style="35"/>
  </cols>
  <sheetData>
    <row r="1" spans="2:14" customFormat="1" ht="23.5" x14ac:dyDescent="0.55000000000000004">
      <c r="B1" s="62" t="s">
        <v>89</v>
      </c>
      <c r="C1" s="62"/>
      <c r="D1" s="62"/>
      <c r="E1" s="62"/>
      <c r="F1" s="62"/>
      <c r="G1" s="62"/>
      <c r="H1" s="62"/>
      <c r="I1" s="62"/>
      <c r="J1" s="62"/>
      <c r="K1" s="62"/>
      <c r="L1" s="62"/>
      <c r="M1" s="49"/>
      <c r="N1" s="49"/>
    </row>
    <row r="2" spans="2:14" customFormat="1" ht="9" customHeight="1" thickBot="1" x14ac:dyDescent="0.6">
      <c r="D2" s="3"/>
      <c r="E2" s="3"/>
      <c r="F2" s="3"/>
      <c r="G2" s="3"/>
      <c r="H2" s="3"/>
      <c r="I2" s="3"/>
      <c r="J2" s="3"/>
      <c r="K2" s="3"/>
      <c r="L2" s="3"/>
      <c r="M2" s="3"/>
      <c r="N2" s="3"/>
    </row>
    <row r="3" spans="2:14" customFormat="1" ht="61.9" customHeight="1" thickBot="1" x14ac:dyDescent="0.4">
      <c r="B3" s="81" t="s">
        <v>90</v>
      </c>
      <c r="C3" s="82"/>
      <c r="D3" s="82"/>
      <c r="E3" s="82"/>
      <c r="F3" s="82"/>
      <c r="G3" s="82"/>
      <c r="H3" s="82"/>
      <c r="I3" s="82"/>
      <c r="J3" s="82"/>
      <c r="K3" s="82"/>
      <c r="L3" s="83"/>
      <c r="M3" s="48"/>
    </row>
    <row r="4" spans="2:14" customFormat="1" ht="18" customHeight="1" x14ac:dyDescent="0.35"/>
    <row r="5" spans="2:14" customFormat="1" ht="21" x14ac:dyDescent="0.5">
      <c r="D5" s="84" t="s">
        <v>91</v>
      </c>
      <c r="E5" s="85"/>
      <c r="F5" s="43"/>
      <c r="G5" s="44">
        <v>10</v>
      </c>
    </row>
    <row r="6" spans="2:14" customFormat="1" ht="21" x14ac:dyDescent="0.5">
      <c r="D6" s="84" t="s">
        <v>92</v>
      </c>
      <c r="E6" s="85"/>
      <c r="F6" s="43"/>
      <c r="G6" s="44">
        <v>50</v>
      </c>
    </row>
    <row r="9" spans="2:14" ht="15.5" x14ac:dyDescent="0.35">
      <c r="B9" s="77" t="s">
        <v>93</v>
      </c>
      <c r="C9" s="77"/>
      <c r="D9" s="77"/>
      <c r="E9"/>
      <c r="I9" s="77" t="s">
        <v>94</v>
      </c>
      <c r="J9" s="77"/>
      <c r="K9" s="77"/>
      <c r="L9"/>
    </row>
    <row r="10" spans="2:14" ht="14.5" x14ac:dyDescent="0.35">
      <c r="B10" s="78" t="s">
        <v>95</v>
      </c>
      <c r="C10" s="79"/>
      <c r="D10" s="80"/>
      <c r="E10"/>
      <c r="I10" s="78" t="s">
        <v>95</v>
      </c>
      <c r="J10" s="79"/>
      <c r="K10" s="80"/>
      <c r="L10"/>
    </row>
    <row r="11" spans="2:14" ht="14.5" x14ac:dyDescent="0.35">
      <c r="B11" s="78" t="s">
        <v>96</v>
      </c>
      <c r="C11" s="79"/>
      <c r="D11" s="80"/>
      <c r="E11"/>
      <c r="I11" s="78" t="s">
        <v>96</v>
      </c>
      <c r="J11" s="79"/>
      <c r="K11" s="80"/>
      <c r="L11"/>
    </row>
    <row r="12" spans="2:14" ht="14.5" x14ac:dyDescent="0.35">
      <c r="B12" s="36"/>
      <c r="C12" s="37" t="s">
        <v>97</v>
      </c>
      <c r="D12" s="37" t="s">
        <v>98</v>
      </c>
      <c r="E12"/>
      <c r="I12" s="36"/>
      <c r="J12" s="37" t="s">
        <v>97</v>
      </c>
      <c r="K12" s="37" t="s">
        <v>98</v>
      </c>
      <c r="L12"/>
    </row>
    <row r="13" spans="2:14" ht="14.5" x14ac:dyDescent="0.35">
      <c r="B13" s="36" t="s">
        <v>99</v>
      </c>
      <c r="C13" s="36">
        <f>G6+G5</f>
        <v>60</v>
      </c>
      <c r="D13" s="38">
        <f>C13*F13</f>
        <v>18060</v>
      </c>
      <c r="E13"/>
      <c r="F13" s="45">
        <v>301</v>
      </c>
      <c r="I13" s="36" t="s">
        <v>99</v>
      </c>
      <c r="J13" s="36">
        <f>G6+G5</f>
        <v>60</v>
      </c>
      <c r="K13" s="38">
        <f t="shared" ref="K13:K24" si="0">J13*M13</f>
        <v>22560</v>
      </c>
      <c r="L13"/>
      <c r="M13" s="55">
        <f>0.75*(301)+0.25*(601)</f>
        <v>376</v>
      </c>
    </row>
    <row r="14" spans="2:14" ht="14.5" x14ac:dyDescent="0.35">
      <c r="B14" s="36" t="s">
        <v>100</v>
      </c>
      <c r="C14" s="36">
        <f>G5</f>
        <v>10</v>
      </c>
      <c r="D14" s="38">
        <f t="shared" ref="D14:D24" si="1">C14*F14</f>
        <v>2759.1666666666661</v>
      </c>
      <c r="E14"/>
      <c r="F14" s="45">
        <f>301*(11/12)</f>
        <v>275.91666666666663</v>
      </c>
      <c r="I14" s="36" t="s">
        <v>100</v>
      </c>
      <c r="J14" s="36">
        <f>G5</f>
        <v>10</v>
      </c>
      <c r="K14" s="38">
        <f t="shared" si="0"/>
        <v>3446.6666666666661</v>
      </c>
      <c r="L14"/>
      <c r="M14" s="55">
        <f>(0.75*(301)+0.25*(601))*(11/12)</f>
        <v>344.66666666666663</v>
      </c>
    </row>
    <row r="15" spans="2:14" ht="14.5" x14ac:dyDescent="0.35">
      <c r="B15" s="36" t="s">
        <v>101</v>
      </c>
      <c r="C15" s="36">
        <f>C14</f>
        <v>10</v>
      </c>
      <c r="D15" s="38">
        <f t="shared" si="1"/>
        <v>2508.3333333333335</v>
      </c>
      <c r="E15"/>
      <c r="F15" s="45">
        <f>301*(10/12)</f>
        <v>250.83333333333334</v>
      </c>
      <c r="I15" s="36" t="s">
        <v>101</v>
      </c>
      <c r="J15" s="36">
        <f>J14</f>
        <v>10</v>
      </c>
      <c r="K15" s="38">
        <f t="shared" si="0"/>
        <v>3133.3333333333339</v>
      </c>
      <c r="L15"/>
      <c r="M15" s="55">
        <f>(0.75*(301)+0.25*(601))*(10/12)</f>
        <v>313.33333333333337</v>
      </c>
    </row>
    <row r="16" spans="2:14" ht="14.5" x14ac:dyDescent="0.35">
      <c r="B16" s="36" t="s">
        <v>102</v>
      </c>
      <c r="C16" s="36">
        <f t="shared" ref="C16:C24" si="2">C15</f>
        <v>10</v>
      </c>
      <c r="D16" s="38">
        <f t="shared" si="1"/>
        <v>2257.5</v>
      </c>
      <c r="E16"/>
      <c r="F16" s="45">
        <f>301*(9/12)</f>
        <v>225.75</v>
      </c>
      <c r="I16" s="36" t="s">
        <v>102</v>
      </c>
      <c r="J16" s="36">
        <f t="shared" ref="J16:J24" si="3">J15</f>
        <v>10</v>
      </c>
      <c r="K16" s="38">
        <f t="shared" si="0"/>
        <v>2820</v>
      </c>
      <c r="L16"/>
      <c r="M16" s="55">
        <f>(0.75*(301)+0.25*(601))*(9/12)</f>
        <v>282</v>
      </c>
    </row>
    <row r="17" spans="2:13" ht="14.5" x14ac:dyDescent="0.35">
      <c r="B17" s="36" t="s">
        <v>103</v>
      </c>
      <c r="C17" s="36">
        <f t="shared" si="2"/>
        <v>10</v>
      </c>
      <c r="D17" s="38">
        <f t="shared" si="1"/>
        <v>2006.6666666666665</v>
      </c>
      <c r="E17"/>
      <c r="F17" s="45">
        <f>301*(8/12)</f>
        <v>200.66666666666666</v>
      </c>
      <c r="I17" s="36" t="s">
        <v>103</v>
      </c>
      <c r="J17" s="36">
        <f t="shared" si="3"/>
        <v>10</v>
      </c>
      <c r="K17" s="38">
        <f t="shared" si="0"/>
        <v>2506.6666666666665</v>
      </c>
      <c r="L17"/>
      <c r="M17" s="55">
        <f>(0.75*(301)+0.25*(601))*(8/12)</f>
        <v>250.66666666666666</v>
      </c>
    </row>
    <row r="18" spans="2:13" ht="14.5" x14ac:dyDescent="0.35">
      <c r="B18" s="36" t="s">
        <v>104</v>
      </c>
      <c r="C18" s="36">
        <f t="shared" si="2"/>
        <v>10</v>
      </c>
      <c r="D18" s="38">
        <f t="shared" si="1"/>
        <v>1755.8333333333335</v>
      </c>
      <c r="E18"/>
      <c r="F18" s="45">
        <f>301*(7/12)</f>
        <v>175.58333333333334</v>
      </c>
      <c r="I18" s="36" t="s">
        <v>104</v>
      </c>
      <c r="J18" s="36">
        <f t="shared" si="3"/>
        <v>10</v>
      </c>
      <c r="K18" s="38">
        <f t="shared" si="0"/>
        <v>3465</v>
      </c>
      <c r="L18"/>
      <c r="M18" s="55">
        <f>(0.75*(601)+0.25*(573))*(7/12)</f>
        <v>346.5</v>
      </c>
    </row>
    <row r="19" spans="2:13" ht="14.5" x14ac:dyDescent="0.35">
      <c r="B19" s="36" t="s">
        <v>105</v>
      </c>
      <c r="C19" s="36">
        <f t="shared" si="2"/>
        <v>10</v>
      </c>
      <c r="D19" s="38">
        <f t="shared" si="1"/>
        <v>1505</v>
      </c>
      <c r="E19"/>
      <c r="F19" s="45">
        <f>301*(6/12)</f>
        <v>150.5</v>
      </c>
      <c r="I19" s="36" t="s">
        <v>105</v>
      </c>
      <c r="J19" s="36">
        <f t="shared" si="3"/>
        <v>10</v>
      </c>
      <c r="K19" s="38">
        <f t="shared" si="0"/>
        <v>1827.5</v>
      </c>
      <c r="L19"/>
      <c r="M19" s="55">
        <f>(0.75*(287)+0.25*(601))*(6/12)</f>
        <v>182.75</v>
      </c>
    </row>
    <row r="20" spans="2:13" ht="14.5" x14ac:dyDescent="0.35">
      <c r="B20" s="36" t="s">
        <v>106</v>
      </c>
      <c r="C20" s="36">
        <f t="shared" si="2"/>
        <v>10</v>
      </c>
      <c r="D20" s="38">
        <f t="shared" si="1"/>
        <v>1254.1666666666667</v>
      </c>
      <c r="E20"/>
      <c r="F20" s="45">
        <f>301*(5/12)</f>
        <v>125.41666666666667</v>
      </c>
      <c r="I20" s="36" t="s">
        <v>106</v>
      </c>
      <c r="J20" s="36">
        <f t="shared" si="3"/>
        <v>10</v>
      </c>
      <c r="K20" s="38">
        <f t="shared" si="0"/>
        <v>1566.666666666667</v>
      </c>
      <c r="L20"/>
      <c r="M20" s="55">
        <f>(0.75*(301)+0.25*(601))*(5/12)</f>
        <v>156.66666666666669</v>
      </c>
    </row>
    <row r="21" spans="2:13" ht="14.5" x14ac:dyDescent="0.35">
      <c r="B21" s="36" t="s">
        <v>107</v>
      </c>
      <c r="C21" s="36">
        <f t="shared" si="2"/>
        <v>10</v>
      </c>
      <c r="D21" s="38">
        <f t="shared" si="1"/>
        <v>1003.3333333333333</v>
      </c>
      <c r="E21"/>
      <c r="F21" s="45">
        <f>301*(4/12)</f>
        <v>100.33333333333333</v>
      </c>
      <c r="I21" s="36" t="s">
        <v>107</v>
      </c>
      <c r="J21" s="36">
        <f t="shared" si="3"/>
        <v>10</v>
      </c>
      <c r="K21" s="38">
        <f t="shared" si="0"/>
        <v>1253.3333333333333</v>
      </c>
      <c r="L21"/>
      <c r="M21" s="55">
        <f>(0.75*(301)+0.25*(601))*(4/12)</f>
        <v>125.33333333333333</v>
      </c>
    </row>
    <row r="22" spans="2:13" ht="14.5" x14ac:dyDescent="0.35">
      <c r="B22" s="36" t="s">
        <v>108</v>
      </c>
      <c r="C22" s="36">
        <f>C21</f>
        <v>10</v>
      </c>
      <c r="D22" s="38">
        <f t="shared" si="1"/>
        <v>752.5</v>
      </c>
      <c r="E22"/>
      <c r="F22" s="45">
        <f>301*(3/12)</f>
        <v>75.25</v>
      </c>
      <c r="I22" s="36" t="s">
        <v>108</v>
      </c>
      <c r="J22" s="36">
        <f t="shared" si="3"/>
        <v>10</v>
      </c>
      <c r="K22" s="38">
        <f t="shared" si="0"/>
        <v>940</v>
      </c>
      <c r="L22"/>
      <c r="M22" s="55">
        <f>(0.75*(301)+0.25*(601))*(3/12)</f>
        <v>94</v>
      </c>
    </row>
    <row r="23" spans="2:13" ht="14.5" x14ac:dyDescent="0.35">
      <c r="B23" s="36" t="s">
        <v>109</v>
      </c>
      <c r="C23" s="36">
        <f t="shared" si="2"/>
        <v>10</v>
      </c>
      <c r="D23" s="38">
        <f t="shared" si="1"/>
        <v>501.66666666666663</v>
      </c>
      <c r="E23"/>
      <c r="F23" s="45">
        <f>301*(2/12)</f>
        <v>50.166666666666664</v>
      </c>
      <c r="I23" s="36" t="s">
        <v>109</v>
      </c>
      <c r="J23" s="36">
        <f t="shared" si="3"/>
        <v>10</v>
      </c>
      <c r="K23" s="38">
        <f t="shared" si="0"/>
        <v>626.66666666666663</v>
      </c>
      <c r="L23"/>
      <c r="M23" s="55">
        <f>(0.75*(301)+0.25*(601))*(2/12)</f>
        <v>62.666666666666664</v>
      </c>
    </row>
    <row r="24" spans="2:13" ht="14.5" x14ac:dyDescent="0.35">
      <c r="B24" s="36" t="s">
        <v>110</v>
      </c>
      <c r="C24" s="36">
        <f t="shared" si="2"/>
        <v>10</v>
      </c>
      <c r="D24" s="38">
        <f t="shared" si="1"/>
        <v>250.83333333333331</v>
      </c>
      <c r="E24"/>
      <c r="F24" s="45">
        <f>301*(1/12)</f>
        <v>25.083333333333332</v>
      </c>
      <c r="I24" s="36" t="s">
        <v>110</v>
      </c>
      <c r="J24" s="36">
        <f t="shared" si="3"/>
        <v>10</v>
      </c>
      <c r="K24" s="38">
        <f t="shared" si="0"/>
        <v>313.33333333333331</v>
      </c>
      <c r="L24"/>
      <c r="M24" s="55">
        <f>(0.75*(301)+0.25*(601))*(1/12)</f>
        <v>31.333333333333332</v>
      </c>
    </row>
    <row r="25" spans="2:13" ht="14.5" x14ac:dyDescent="0.35">
      <c r="B25" s="37" t="s">
        <v>111</v>
      </c>
      <c r="C25" s="37">
        <f>SUM(C13:C24)</f>
        <v>170</v>
      </c>
      <c r="D25" s="39">
        <f>SUM(D13:D24)</f>
        <v>34615</v>
      </c>
      <c r="E25"/>
      <c r="I25" s="37" t="s">
        <v>111</v>
      </c>
      <c r="J25" s="37">
        <f>SUM(J13:J24)</f>
        <v>170</v>
      </c>
      <c r="K25" s="39">
        <f>SUM(K13:K24)</f>
        <v>44459.166666666664</v>
      </c>
      <c r="L25"/>
    </row>
    <row r="26" spans="2:13" ht="13" x14ac:dyDescent="0.3">
      <c r="B26" s="37" t="s">
        <v>112</v>
      </c>
      <c r="C26" s="37"/>
      <c r="D26" s="39">
        <f>D25+E25</f>
        <v>34615</v>
      </c>
      <c r="I26" s="37" t="s">
        <v>112</v>
      </c>
      <c r="J26" s="37"/>
      <c r="K26" s="39">
        <f>K25+L25</f>
        <v>44459.166666666664</v>
      </c>
    </row>
    <row r="29" spans="2:13" ht="15.5" x14ac:dyDescent="0.35">
      <c r="B29" s="77" t="s">
        <v>93</v>
      </c>
      <c r="C29" s="77"/>
      <c r="D29" s="77"/>
      <c r="I29" s="77" t="s">
        <v>94</v>
      </c>
      <c r="J29" s="77"/>
      <c r="K29" s="77"/>
    </row>
    <row r="30" spans="2:13" ht="13" x14ac:dyDescent="0.3">
      <c r="B30" s="78" t="s">
        <v>95</v>
      </c>
      <c r="C30" s="79"/>
      <c r="D30" s="80"/>
      <c r="E30" s="36"/>
      <c r="I30" s="78" t="s">
        <v>95</v>
      </c>
      <c r="J30" s="79"/>
      <c r="K30" s="80"/>
      <c r="L30" s="36"/>
    </row>
    <row r="31" spans="2:13" ht="13" x14ac:dyDescent="0.3">
      <c r="B31" s="78" t="s">
        <v>113</v>
      </c>
      <c r="C31" s="79"/>
      <c r="D31" s="80"/>
      <c r="E31" s="36"/>
      <c r="I31" s="78" t="s">
        <v>113</v>
      </c>
      <c r="J31" s="79"/>
      <c r="K31" s="80"/>
      <c r="L31" s="36"/>
    </row>
    <row r="32" spans="2:13" ht="13" x14ac:dyDescent="0.3">
      <c r="B32" s="36"/>
      <c r="C32" s="37" t="s">
        <v>97</v>
      </c>
      <c r="D32" s="37" t="s">
        <v>98</v>
      </c>
      <c r="E32" s="37" t="s">
        <v>114</v>
      </c>
      <c r="I32" s="36"/>
      <c r="J32" s="37" t="s">
        <v>97</v>
      </c>
      <c r="K32" s="37" t="s">
        <v>98</v>
      </c>
      <c r="L32" s="37" t="s">
        <v>115</v>
      </c>
    </row>
    <row r="33" spans="2:13" ht="14.5" x14ac:dyDescent="0.35">
      <c r="B33" s="36" t="s">
        <v>99</v>
      </c>
      <c r="C33" s="36">
        <f>C13</f>
        <v>60</v>
      </c>
      <c r="D33" s="38">
        <f>C33*F33</f>
        <v>18060</v>
      </c>
      <c r="E33" s="38">
        <f>(C25)*0.85*20</f>
        <v>2890</v>
      </c>
      <c r="F33" s="45">
        <v>301</v>
      </c>
      <c r="I33" s="36" t="s">
        <v>99</v>
      </c>
      <c r="J33" s="36">
        <f>J13</f>
        <v>60</v>
      </c>
      <c r="K33" s="38">
        <f t="shared" ref="K33:K44" si="4">J33*M33</f>
        <v>22560</v>
      </c>
      <c r="L33" s="38">
        <f>(J25)*0.85*20</f>
        <v>2890</v>
      </c>
      <c r="M33" s="55">
        <f>0.75*(301)+0.25*(601)</f>
        <v>376</v>
      </c>
    </row>
    <row r="34" spans="2:13" ht="14.5" x14ac:dyDescent="0.35">
      <c r="B34" s="36" t="s">
        <v>100</v>
      </c>
      <c r="C34" s="36">
        <f t="shared" ref="C34:C44" si="5">C14</f>
        <v>10</v>
      </c>
      <c r="D34" s="38">
        <f t="shared" ref="D34:D44" si="6">C34*F34</f>
        <v>2759.1666666666661</v>
      </c>
      <c r="E34" s="38">
        <f>E33</f>
        <v>2890</v>
      </c>
      <c r="F34" s="45">
        <f>301*(11/12)</f>
        <v>275.91666666666663</v>
      </c>
      <c r="I34" s="36" t="s">
        <v>100</v>
      </c>
      <c r="J34" s="36">
        <f t="shared" ref="J34:J44" si="7">J14</f>
        <v>10</v>
      </c>
      <c r="K34" s="38">
        <f t="shared" si="4"/>
        <v>3446.6666666666661</v>
      </c>
      <c r="L34" s="38">
        <f>L33</f>
        <v>2890</v>
      </c>
      <c r="M34" s="55">
        <f>(0.75*(301)+0.25*(601))*(11/12)</f>
        <v>344.66666666666663</v>
      </c>
    </row>
    <row r="35" spans="2:13" ht="14.5" x14ac:dyDescent="0.35">
      <c r="B35" s="36" t="s">
        <v>101</v>
      </c>
      <c r="C35" s="36">
        <f t="shared" si="5"/>
        <v>10</v>
      </c>
      <c r="D35" s="38">
        <f t="shared" si="6"/>
        <v>2508.3333333333335</v>
      </c>
      <c r="E35" s="38">
        <f t="shared" ref="E35:E44" si="8">E34</f>
        <v>2890</v>
      </c>
      <c r="F35" s="45">
        <f>301*(10/12)</f>
        <v>250.83333333333334</v>
      </c>
      <c r="I35" s="36" t="s">
        <v>101</v>
      </c>
      <c r="J35" s="36">
        <f t="shared" si="7"/>
        <v>10</v>
      </c>
      <c r="K35" s="38">
        <f t="shared" si="4"/>
        <v>3133.3333333333339</v>
      </c>
      <c r="L35" s="38">
        <f t="shared" ref="L35:L44" si="9">L34</f>
        <v>2890</v>
      </c>
      <c r="M35" s="55">
        <f>(0.75*(301)+0.25*(601))*(10/12)</f>
        <v>313.33333333333337</v>
      </c>
    </row>
    <row r="36" spans="2:13" ht="14.5" x14ac:dyDescent="0.35">
      <c r="B36" s="36" t="s">
        <v>102</v>
      </c>
      <c r="C36" s="36">
        <f t="shared" si="5"/>
        <v>10</v>
      </c>
      <c r="D36" s="38">
        <f t="shared" si="6"/>
        <v>2257.5</v>
      </c>
      <c r="E36" s="38">
        <f t="shared" si="8"/>
        <v>2890</v>
      </c>
      <c r="F36" s="45">
        <f>301*(9/12)</f>
        <v>225.75</v>
      </c>
      <c r="I36" s="36" t="s">
        <v>102</v>
      </c>
      <c r="J36" s="36">
        <f t="shared" si="7"/>
        <v>10</v>
      </c>
      <c r="K36" s="38">
        <f t="shared" si="4"/>
        <v>2820</v>
      </c>
      <c r="L36" s="38">
        <f t="shared" si="9"/>
        <v>2890</v>
      </c>
      <c r="M36" s="55">
        <f>(0.75*(301)+0.25*(601))*(9/12)</f>
        <v>282</v>
      </c>
    </row>
    <row r="37" spans="2:13" ht="14.5" x14ac:dyDescent="0.35">
      <c r="B37" s="36" t="s">
        <v>103</v>
      </c>
      <c r="C37" s="36">
        <f t="shared" si="5"/>
        <v>10</v>
      </c>
      <c r="D37" s="38">
        <f t="shared" si="6"/>
        <v>2006.6666666666665</v>
      </c>
      <c r="E37" s="38">
        <f t="shared" si="8"/>
        <v>2890</v>
      </c>
      <c r="F37" s="45">
        <f>301*(8/12)</f>
        <v>200.66666666666666</v>
      </c>
      <c r="I37" s="36" t="s">
        <v>103</v>
      </c>
      <c r="J37" s="36">
        <f t="shared" si="7"/>
        <v>10</v>
      </c>
      <c r="K37" s="38">
        <f t="shared" si="4"/>
        <v>2506.6666666666665</v>
      </c>
      <c r="L37" s="38">
        <f t="shared" si="9"/>
        <v>2890</v>
      </c>
      <c r="M37" s="55">
        <f>(0.75*(301)+0.25*(601))*(8/12)</f>
        <v>250.66666666666666</v>
      </c>
    </row>
    <row r="38" spans="2:13" ht="14.5" x14ac:dyDescent="0.35">
      <c r="B38" s="36" t="s">
        <v>104</v>
      </c>
      <c r="C38" s="36">
        <f t="shared" si="5"/>
        <v>10</v>
      </c>
      <c r="D38" s="38">
        <f t="shared" si="6"/>
        <v>1755.8333333333335</v>
      </c>
      <c r="E38" s="38">
        <f t="shared" si="8"/>
        <v>2890</v>
      </c>
      <c r="F38" s="45">
        <f>301*(7/12)</f>
        <v>175.58333333333334</v>
      </c>
      <c r="I38" s="36" t="s">
        <v>104</v>
      </c>
      <c r="J38" s="36">
        <f t="shared" si="7"/>
        <v>10</v>
      </c>
      <c r="K38" s="38">
        <f t="shared" si="4"/>
        <v>3465</v>
      </c>
      <c r="L38" s="38">
        <f t="shared" si="9"/>
        <v>2890</v>
      </c>
      <c r="M38" s="55">
        <f>(0.75*(601)+0.25*(573))*(7/12)</f>
        <v>346.5</v>
      </c>
    </row>
    <row r="39" spans="2:13" ht="14.5" x14ac:dyDescent="0.35">
      <c r="B39" s="36" t="s">
        <v>105</v>
      </c>
      <c r="C39" s="36">
        <f t="shared" si="5"/>
        <v>10</v>
      </c>
      <c r="D39" s="38">
        <f t="shared" si="6"/>
        <v>1505</v>
      </c>
      <c r="E39" s="38">
        <f t="shared" si="8"/>
        <v>2890</v>
      </c>
      <c r="F39" s="45">
        <f>301*(6/12)</f>
        <v>150.5</v>
      </c>
      <c r="I39" s="36" t="s">
        <v>105</v>
      </c>
      <c r="J39" s="36">
        <f t="shared" si="7"/>
        <v>10</v>
      </c>
      <c r="K39" s="38">
        <f t="shared" si="4"/>
        <v>1827.5</v>
      </c>
      <c r="L39" s="38">
        <f t="shared" si="9"/>
        <v>2890</v>
      </c>
      <c r="M39" s="55">
        <f>(0.75*(287)+0.25*(601))*(6/12)</f>
        <v>182.75</v>
      </c>
    </row>
    <row r="40" spans="2:13" ht="14.5" x14ac:dyDescent="0.35">
      <c r="B40" s="36" t="s">
        <v>106</v>
      </c>
      <c r="C40" s="36">
        <f t="shared" si="5"/>
        <v>10</v>
      </c>
      <c r="D40" s="38">
        <f t="shared" si="6"/>
        <v>1254.1666666666667</v>
      </c>
      <c r="E40" s="38">
        <f t="shared" si="8"/>
        <v>2890</v>
      </c>
      <c r="F40" s="45">
        <f>301*(5/12)</f>
        <v>125.41666666666667</v>
      </c>
      <c r="I40" s="36" t="s">
        <v>106</v>
      </c>
      <c r="J40" s="36">
        <f t="shared" si="7"/>
        <v>10</v>
      </c>
      <c r="K40" s="38">
        <f t="shared" si="4"/>
        <v>1566.666666666667</v>
      </c>
      <c r="L40" s="38">
        <f t="shared" si="9"/>
        <v>2890</v>
      </c>
      <c r="M40" s="55">
        <f>(0.75*(301)+0.25*(601))*(5/12)</f>
        <v>156.66666666666669</v>
      </c>
    </row>
    <row r="41" spans="2:13" ht="14.5" x14ac:dyDescent="0.35">
      <c r="B41" s="36" t="s">
        <v>107</v>
      </c>
      <c r="C41" s="36">
        <f t="shared" si="5"/>
        <v>10</v>
      </c>
      <c r="D41" s="38">
        <f t="shared" si="6"/>
        <v>1003.3333333333333</v>
      </c>
      <c r="E41" s="38">
        <f t="shared" si="8"/>
        <v>2890</v>
      </c>
      <c r="F41" s="45">
        <f>301*(4/12)</f>
        <v>100.33333333333333</v>
      </c>
      <c r="I41" s="36" t="s">
        <v>107</v>
      </c>
      <c r="J41" s="36">
        <f t="shared" si="7"/>
        <v>10</v>
      </c>
      <c r="K41" s="38">
        <f t="shared" si="4"/>
        <v>1253.3333333333333</v>
      </c>
      <c r="L41" s="38">
        <f t="shared" si="9"/>
        <v>2890</v>
      </c>
      <c r="M41" s="55">
        <f>(0.75*(301)+0.25*(601))*(4/12)</f>
        <v>125.33333333333333</v>
      </c>
    </row>
    <row r="42" spans="2:13" ht="14.5" x14ac:dyDescent="0.35">
      <c r="B42" s="36" t="s">
        <v>108</v>
      </c>
      <c r="C42" s="36">
        <f t="shared" si="5"/>
        <v>10</v>
      </c>
      <c r="D42" s="38">
        <f t="shared" si="6"/>
        <v>752.5</v>
      </c>
      <c r="E42" s="38">
        <f t="shared" si="8"/>
        <v>2890</v>
      </c>
      <c r="F42" s="45">
        <f>301*(3/12)</f>
        <v>75.25</v>
      </c>
      <c r="I42" s="36" t="s">
        <v>108</v>
      </c>
      <c r="J42" s="36">
        <f t="shared" si="7"/>
        <v>10</v>
      </c>
      <c r="K42" s="38">
        <f t="shared" si="4"/>
        <v>940</v>
      </c>
      <c r="L42" s="38">
        <f t="shared" si="9"/>
        <v>2890</v>
      </c>
      <c r="M42" s="55">
        <f>(0.75*(301)+0.25*(601))*(3/12)</f>
        <v>94</v>
      </c>
    </row>
    <row r="43" spans="2:13" ht="14.5" x14ac:dyDescent="0.35">
      <c r="B43" s="36" t="s">
        <v>109</v>
      </c>
      <c r="C43" s="36">
        <f t="shared" si="5"/>
        <v>10</v>
      </c>
      <c r="D43" s="38">
        <f t="shared" si="6"/>
        <v>501.66666666666663</v>
      </c>
      <c r="E43" s="38">
        <f t="shared" si="8"/>
        <v>2890</v>
      </c>
      <c r="F43" s="45">
        <f>301*(2/12)</f>
        <v>50.166666666666664</v>
      </c>
      <c r="I43" s="36" t="s">
        <v>109</v>
      </c>
      <c r="J43" s="36">
        <f t="shared" si="7"/>
        <v>10</v>
      </c>
      <c r="K43" s="38">
        <f t="shared" si="4"/>
        <v>626.66666666666663</v>
      </c>
      <c r="L43" s="38">
        <f t="shared" si="9"/>
        <v>2890</v>
      </c>
      <c r="M43" s="55">
        <f>(0.75*(301)+0.25*(601))*(2/12)</f>
        <v>62.666666666666664</v>
      </c>
    </row>
    <row r="44" spans="2:13" ht="14.5" x14ac:dyDescent="0.35">
      <c r="B44" s="36" t="s">
        <v>110</v>
      </c>
      <c r="C44" s="36">
        <f t="shared" si="5"/>
        <v>10</v>
      </c>
      <c r="D44" s="38">
        <f t="shared" si="6"/>
        <v>250.83333333333331</v>
      </c>
      <c r="E44" s="38">
        <f t="shared" si="8"/>
        <v>2890</v>
      </c>
      <c r="F44" s="45">
        <f>301*(1/12)</f>
        <v>25.083333333333332</v>
      </c>
      <c r="I44" s="36" t="s">
        <v>110</v>
      </c>
      <c r="J44" s="36">
        <f t="shared" si="7"/>
        <v>10</v>
      </c>
      <c r="K44" s="38">
        <f t="shared" si="4"/>
        <v>313.33333333333331</v>
      </c>
      <c r="L44" s="38">
        <f t="shared" si="9"/>
        <v>2890</v>
      </c>
      <c r="M44" s="55">
        <f>(0.75*(301)+0.25*(601))*(1/12)</f>
        <v>31.333333333333332</v>
      </c>
    </row>
    <row r="45" spans="2:13" ht="13" x14ac:dyDescent="0.3">
      <c r="B45" s="37" t="s">
        <v>111</v>
      </c>
      <c r="C45" s="37">
        <f>SUM(C33:C44)</f>
        <v>170</v>
      </c>
      <c r="D45" s="39">
        <f>SUM(D33:D44)</f>
        <v>34615</v>
      </c>
      <c r="E45" s="39">
        <f>SUM(E33:E44)</f>
        <v>34680</v>
      </c>
      <c r="I45" s="37" t="s">
        <v>111</v>
      </c>
      <c r="J45" s="37">
        <f>SUM(J33:J44)</f>
        <v>170</v>
      </c>
      <c r="K45" s="39">
        <f>SUM(K33:K44)</f>
        <v>44459.166666666664</v>
      </c>
      <c r="L45" s="39">
        <f>SUM(L33:L44)</f>
        <v>34680</v>
      </c>
    </row>
    <row r="46" spans="2:13" ht="13" x14ac:dyDescent="0.3">
      <c r="B46" s="37" t="s">
        <v>112</v>
      </c>
      <c r="C46" s="37"/>
      <c r="D46" s="39">
        <f>D45+E45</f>
        <v>69295</v>
      </c>
      <c r="I46" s="37" t="s">
        <v>112</v>
      </c>
      <c r="J46" s="37"/>
      <c r="K46" s="39">
        <f>K45+L45</f>
        <v>79139.166666666657</v>
      </c>
    </row>
    <row r="49" spans="2:13" ht="15.5" x14ac:dyDescent="0.35">
      <c r="B49" s="77" t="s">
        <v>93</v>
      </c>
      <c r="C49" s="77"/>
      <c r="D49" s="77"/>
      <c r="I49" s="77" t="s">
        <v>94</v>
      </c>
      <c r="J49" s="77"/>
      <c r="K49" s="77"/>
    </row>
    <row r="50" spans="2:13" ht="13" x14ac:dyDescent="0.3">
      <c r="B50" s="78" t="s">
        <v>95</v>
      </c>
      <c r="C50" s="79"/>
      <c r="D50" s="80"/>
      <c r="E50" s="36"/>
      <c r="I50" s="78" t="s">
        <v>95</v>
      </c>
      <c r="J50" s="79"/>
      <c r="K50" s="80"/>
      <c r="L50" s="36"/>
    </row>
    <row r="51" spans="2:13" ht="13" x14ac:dyDescent="0.3">
      <c r="B51" s="78" t="s">
        <v>116</v>
      </c>
      <c r="C51" s="79"/>
      <c r="D51" s="80"/>
      <c r="E51" s="36"/>
      <c r="I51" s="78" t="s">
        <v>116</v>
      </c>
      <c r="J51" s="79"/>
      <c r="K51" s="80"/>
      <c r="L51" s="36"/>
    </row>
    <row r="52" spans="2:13" ht="13" x14ac:dyDescent="0.3">
      <c r="B52" s="36"/>
      <c r="C52" s="37" t="s">
        <v>97</v>
      </c>
      <c r="D52" s="37" t="s">
        <v>98</v>
      </c>
      <c r="E52" s="37" t="s">
        <v>114</v>
      </c>
      <c r="I52" s="36"/>
      <c r="J52" s="37" t="s">
        <v>97</v>
      </c>
      <c r="K52" s="37" t="s">
        <v>98</v>
      </c>
      <c r="L52" s="37" t="s">
        <v>115</v>
      </c>
    </row>
    <row r="53" spans="2:13" ht="14.5" x14ac:dyDescent="0.35">
      <c r="B53" s="36" t="s">
        <v>99</v>
      </c>
      <c r="C53" s="36">
        <f>C33</f>
        <v>60</v>
      </c>
      <c r="D53" s="38">
        <f>C53*F53</f>
        <v>18060</v>
      </c>
      <c r="E53" s="38">
        <f>(C25+C45)*0.85*20</f>
        <v>5780</v>
      </c>
      <c r="F53" s="45">
        <v>301</v>
      </c>
      <c r="I53" s="36" t="s">
        <v>99</v>
      </c>
      <c r="J53" s="36">
        <f>J33</f>
        <v>60</v>
      </c>
      <c r="K53" s="38">
        <f t="shared" ref="K53:K64" si="10">J53*M53</f>
        <v>22560</v>
      </c>
      <c r="L53" s="38">
        <f>(J25+J45)*0.85*20</f>
        <v>5780</v>
      </c>
      <c r="M53" s="55">
        <f>0.75*(301)+0.25*(601)</f>
        <v>376</v>
      </c>
    </row>
    <row r="54" spans="2:13" ht="14.5" x14ac:dyDescent="0.35">
      <c r="B54" s="36" t="s">
        <v>100</v>
      </c>
      <c r="C54" s="36">
        <f t="shared" ref="C54:C64" si="11">C34</f>
        <v>10</v>
      </c>
      <c r="D54" s="38">
        <f t="shared" ref="D54:D64" si="12">C54*F54</f>
        <v>2759.1666666666661</v>
      </c>
      <c r="E54" s="38">
        <f>E53</f>
        <v>5780</v>
      </c>
      <c r="F54" s="45">
        <f>301*(11/12)</f>
        <v>275.91666666666663</v>
      </c>
      <c r="I54" s="36" t="s">
        <v>100</v>
      </c>
      <c r="J54" s="36">
        <f t="shared" ref="J54:J64" si="13">J34</f>
        <v>10</v>
      </c>
      <c r="K54" s="38">
        <f t="shared" si="10"/>
        <v>3446.6666666666661</v>
      </c>
      <c r="L54" s="38">
        <f>L53</f>
        <v>5780</v>
      </c>
      <c r="M54" s="55">
        <f>(0.75*(301)+0.25*(601))*(11/12)</f>
        <v>344.66666666666663</v>
      </c>
    </row>
    <row r="55" spans="2:13" ht="14.5" x14ac:dyDescent="0.35">
      <c r="B55" s="36" t="s">
        <v>101</v>
      </c>
      <c r="C55" s="36">
        <f t="shared" si="11"/>
        <v>10</v>
      </c>
      <c r="D55" s="38">
        <f t="shared" si="12"/>
        <v>2508.3333333333335</v>
      </c>
      <c r="E55" s="38">
        <f t="shared" ref="E55:E64" si="14">E54</f>
        <v>5780</v>
      </c>
      <c r="F55" s="45">
        <f>301*(10/12)</f>
        <v>250.83333333333334</v>
      </c>
      <c r="I55" s="36" t="s">
        <v>101</v>
      </c>
      <c r="J55" s="36">
        <f t="shared" si="13"/>
        <v>10</v>
      </c>
      <c r="K55" s="38">
        <f t="shared" si="10"/>
        <v>3133.3333333333339</v>
      </c>
      <c r="L55" s="38">
        <f t="shared" ref="L55:L64" si="15">L54</f>
        <v>5780</v>
      </c>
      <c r="M55" s="55">
        <f>(0.75*(301)+0.25*(601))*(10/12)</f>
        <v>313.33333333333337</v>
      </c>
    </row>
    <row r="56" spans="2:13" ht="14.5" x14ac:dyDescent="0.35">
      <c r="B56" s="36" t="s">
        <v>102</v>
      </c>
      <c r="C56" s="36">
        <f t="shared" si="11"/>
        <v>10</v>
      </c>
      <c r="D56" s="38">
        <f t="shared" si="12"/>
        <v>2257.5</v>
      </c>
      <c r="E56" s="38">
        <f t="shared" si="14"/>
        <v>5780</v>
      </c>
      <c r="F56" s="45">
        <f>301*(9/12)</f>
        <v>225.75</v>
      </c>
      <c r="I56" s="36" t="s">
        <v>102</v>
      </c>
      <c r="J56" s="36">
        <f t="shared" si="13"/>
        <v>10</v>
      </c>
      <c r="K56" s="38">
        <f t="shared" si="10"/>
        <v>2820</v>
      </c>
      <c r="L56" s="38">
        <f t="shared" si="15"/>
        <v>5780</v>
      </c>
      <c r="M56" s="55">
        <f>(0.75*(301)+0.25*(601))*(9/12)</f>
        <v>282</v>
      </c>
    </row>
    <row r="57" spans="2:13" ht="14.5" x14ac:dyDescent="0.35">
      <c r="B57" s="36" t="s">
        <v>103</v>
      </c>
      <c r="C57" s="36">
        <f t="shared" si="11"/>
        <v>10</v>
      </c>
      <c r="D57" s="38">
        <f t="shared" si="12"/>
        <v>2006.6666666666665</v>
      </c>
      <c r="E57" s="38">
        <f t="shared" si="14"/>
        <v>5780</v>
      </c>
      <c r="F57" s="45">
        <f>301*(8/12)</f>
        <v>200.66666666666666</v>
      </c>
      <c r="I57" s="36" t="s">
        <v>103</v>
      </c>
      <c r="J57" s="36">
        <f t="shared" si="13"/>
        <v>10</v>
      </c>
      <c r="K57" s="38">
        <f t="shared" si="10"/>
        <v>2506.6666666666665</v>
      </c>
      <c r="L57" s="38">
        <f t="shared" si="15"/>
        <v>5780</v>
      </c>
      <c r="M57" s="55">
        <f>(0.75*(301)+0.25*(601))*(8/12)</f>
        <v>250.66666666666666</v>
      </c>
    </row>
    <row r="58" spans="2:13" ht="14.5" x14ac:dyDescent="0.35">
      <c r="B58" s="36" t="s">
        <v>104</v>
      </c>
      <c r="C58" s="36">
        <f t="shared" si="11"/>
        <v>10</v>
      </c>
      <c r="D58" s="38">
        <f t="shared" si="12"/>
        <v>1755.8333333333335</v>
      </c>
      <c r="E58" s="38">
        <f t="shared" si="14"/>
        <v>5780</v>
      </c>
      <c r="F58" s="45">
        <f>301*(7/12)</f>
        <v>175.58333333333334</v>
      </c>
      <c r="I58" s="36" t="s">
        <v>104</v>
      </c>
      <c r="J58" s="36">
        <f t="shared" si="13"/>
        <v>10</v>
      </c>
      <c r="K58" s="38">
        <f t="shared" si="10"/>
        <v>3465</v>
      </c>
      <c r="L58" s="38">
        <f t="shared" si="15"/>
        <v>5780</v>
      </c>
      <c r="M58" s="55">
        <f>(0.75*(601)+0.25*(573))*(7/12)</f>
        <v>346.5</v>
      </c>
    </row>
    <row r="59" spans="2:13" ht="14.5" x14ac:dyDescent="0.35">
      <c r="B59" s="36" t="s">
        <v>105</v>
      </c>
      <c r="C59" s="36">
        <f t="shared" si="11"/>
        <v>10</v>
      </c>
      <c r="D59" s="38">
        <f t="shared" si="12"/>
        <v>1505</v>
      </c>
      <c r="E59" s="38">
        <f t="shared" si="14"/>
        <v>5780</v>
      </c>
      <c r="F59" s="45">
        <f>301*(6/12)</f>
        <v>150.5</v>
      </c>
      <c r="I59" s="36" t="s">
        <v>105</v>
      </c>
      <c r="J59" s="36">
        <f t="shared" si="13"/>
        <v>10</v>
      </c>
      <c r="K59" s="38">
        <f t="shared" si="10"/>
        <v>1827.5</v>
      </c>
      <c r="L59" s="38">
        <f t="shared" si="15"/>
        <v>5780</v>
      </c>
      <c r="M59" s="55">
        <f>(0.75*(287)+0.25*(601))*(6/12)</f>
        <v>182.75</v>
      </c>
    </row>
    <row r="60" spans="2:13" ht="14.5" x14ac:dyDescent="0.35">
      <c r="B60" s="36" t="s">
        <v>106</v>
      </c>
      <c r="C60" s="36">
        <f t="shared" si="11"/>
        <v>10</v>
      </c>
      <c r="D60" s="38">
        <f t="shared" si="12"/>
        <v>1254.1666666666667</v>
      </c>
      <c r="E60" s="38">
        <f t="shared" si="14"/>
        <v>5780</v>
      </c>
      <c r="F60" s="45">
        <f>301*(5/12)</f>
        <v>125.41666666666667</v>
      </c>
      <c r="I60" s="36" t="s">
        <v>106</v>
      </c>
      <c r="J60" s="36">
        <f t="shared" si="13"/>
        <v>10</v>
      </c>
      <c r="K60" s="38">
        <f t="shared" si="10"/>
        <v>1566.666666666667</v>
      </c>
      <c r="L60" s="38">
        <f t="shared" si="15"/>
        <v>5780</v>
      </c>
      <c r="M60" s="55">
        <f>(0.75*(301)+0.25*(601))*(5/12)</f>
        <v>156.66666666666669</v>
      </c>
    </row>
    <row r="61" spans="2:13" ht="14.5" x14ac:dyDescent="0.35">
      <c r="B61" s="36" t="s">
        <v>107</v>
      </c>
      <c r="C61" s="36">
        <f t="shared" si="11"/>
        <v>10</v>
      </c>
      <c r="D61" s="38">
        <f t="shared" si="12"/>
        <v>1003.3333333333333</v>
      </c>
      <c r="E61" s="38">
        <f t="shared" si="14"/>
        <v>5780</v>
      </c>
      <c r="F61" s="45">
        <f>301*(4/12)</f>
        <v>100.33333333333333</v>
      </c>
      <c r="I61" s="36" t="s">
        <v>107</v>
      </c>
      <c r="J61" s="36">
        <f t="shared" si="13"/>
        <v>10</v>
      </c>
      <c r="K61" s="38">
        <f t="shared" si="10"/>
        <v>1253.3333333333333</v>
      </c>
      <c r="L61" s="38">
        <f t="shared" si="15"/>
        <v>5780</v>
      </c>
      <c r="M61" s="55">
        <f>(0.75*(301)+0.25*(601))*(4/12)</f>
        <v>125.33333333333333</v>
      </c>
    </row>
    <row r="62" spans="2:13" ht="14.5" x14ac:dyDescent="0.35">
      <c r="B62" s="36" t="s">
        <v>108</v>
      </c>
      <c r="C62" s="36">
        <f t="shared" si="11"/>
        <v>10</v>
      </c>
      <c r="D62" s="38">
        <f t="shared" si="12"/>
        <v>752.5</v>
      </c>
      <c r="E62" s="38">
        <f t="shared" si="14"/>
        <v>5780</v>
      </c>
      <c r="F62" s="45">
        <f>301*(3/12)</f>
        <v>75.25</v>
      </c>
      <c r="I62" s="36" t="s">
        <v>108</v>
      </c>
      <c r="J62" s="36">
        <f t="shared" si="13"/>
        <v>10</v>
      </c>
      <c r="K62" s="38">
        <f t="shared" si="10"/>
        <v>940</v>
      </c>
      <c r="L62" s="38">
        <f t="shared" si="15"/>
        <v>5780</v>
      </c>
      <c r="M62" s="55">
        <f>(0.75*(301)+0.25*(601))*(3/12)</f>
        <v>94</v>
      </c>
    </row>
    <row r="63" spans="2:13" ht="14.5" x14ac:dyDescent="0.35">
      <c r="B63" s="36" t="s">
        <v>109</v>
      </c>
      <c r="C63" s="36">
        <f t="shared" si="11"/>
        <v>10</v>
      </c>
      <c r="D63" s="38">
        <f t="shared" si="12"/>
        <v>501.66666666666663</v>
      </c>
      <c r="E63" s="38">
        <f t="shared" si="14"/>
        <v>5780</v>
      </c>
      <c r="F63" s="45">
        <f>301*(2/12)</f>
        <v>50.166666666666664</v>
      </c>
      <c r="I63" s="36" t="s">
        <v>109</v>
      </c>
      <c r="J63" s="36">
        <f t="shared" si="13"/>
        <v>10</v>
      </c>
      <c r="K63" s="38">
        <f t="shared" si="10"/>
        <v>626.66666666666663</v>
      </c>
      <c r="L63" s="38">
        <f t="shared" si="15"/>
        <v>5780</v>
      </c>
      <c r="M63" s="55">
        <f>(0.75*(301)+0.25*(601))*(2/12)</f>
        <v>62.666666666666664</v>
      </c>
    </row>
    <row r="64" spans="2:13" ht="14.5" x14ac:dyDescent="0.35">
      <c r="B64" s="36" t="s">
        <v>110</v>
      </c>
      <c r="C64" s="36">
        <f t="shared" si="11"/>
        <v>10</v>
      </c>
      <c r="D64" s="38">
        <f t="shared" si="12"/>
        <v>250.83333333333331</v>
      </c>
      <c r="E64" s="38">
        <f t="shared" si="14"/>
        <v>5780</v>
      </c>
      <c r="F64" s="45">
        <f>301*(1/12)</f>
        <v>25.083333333333332</v>
      </c>
      <c r="I64" s="36" t="s">
        <v>110</v>
      </c>
      <c r="J64" s="36">
        <f t="shared" si="13"/>
        <v>10</v>
      </c>
      <c r="K64" s="38">
        <f t="shared" si="10"/>
        <v>313.33333333333331</v>
      </c>
      <c r="L64" s="38">
        <f t="shared" si="15"/>
        <v>5780</v>
      </c>
      <c r="M64" s="55">
        <f>(0.75*(301)+0.25*(601))*(1/12)</f>
        <v>31.333333333333332</v>
      </c>
    </row>
    <row r="65" spans="2:13" ht="13" x14ac:dyDescent="0.3">
      <c r="B65" s="37" t="s">
        <v>111</v>
      </c>
      <c r="C65" s="37">
        <f>SUM(C53:C64)</f>
        <v>170</v>
      </c>
      <c r="D65" s="39">
        <f>SUM(D53:D64)</f>
        <v>34615</v>
      </c>
      <c r="E65" s="39">
        <f>SUM(E53:E64)</f>
        <v>69360</v>
      </c>
      <c r="I65" s="37" t="s">
        <v>111</v>
      </c>
      <c r="J65" s="37">
        <f>SUM(J53:J64)</f>
        <v>170</v>
      </c>
      <c r="K65" s="39">
        <f>SUM(K53:K64)</f>
        <v>44459.166666666664</v>
      </c>
      <c r="L65" s="39">
        <f>SUM(L53:L64)</f>
        <v>69360</v>
      </c>
    </row>
    <row r="66" spans="2:13" ht="13" x14ac:dyDescent="0.3">
      <c r="B66" s="37" t="s">
        <v>112</v>
      </c>
      <c r="C66" s="37"/>
      <c r="D66" s="39">
        <f>D65+E65</f>
        <v>103975</v>
      </c>
      <c r="I66" s="37" t="s">
        <v>112</v>
      </c>
      <c r="J66" s="37"/>
      <c r="K66" s="39">
        <f>K65+L65</f>
        <v>113819.16666666666</v>
      </c>
    </row>
    <row r="67" spans="2:13" ht="13" x14ac:dyDescent="0.3">
      <c r="B67" s="37"/>
      <c r="C67" s="37"/>
      <c r="D67" s="39"/>
      <c r="I67" s="37"/>
      <c r="J67" s="37"/>
      <c r="K67" s="39"/>
    </row>
    <row r="68" spans="2:13" ht="13" x14ac:dyDescent="0.3">
      <c r="B68" s="37"/>
      <c r="C68" s="37"/>
      <c r="D68" s="39"/>
      <c r="I68" s="37"/>
      <c r="J68" s="37"/>
      <c r="K68" s="39"/>
    </row>
    <row r="69" spans="2:13" ht="15.5" x14ac:dyDescent="0.35">
      <c r="B69" s="77" t="s">
        <v>93</v>
      </c>
      <c r="C69" s="77"/>
      <c r="D69" s="77"/>
      <c r="I69" s="77" t="s">
        <v>94</v>
      </c>
      <c r="J69" s="77"/>
      <c r="K69" s="77"/>
    </row>
    <row r="70" spans="2:13" ht="13" x14ac:dyDescent="0.3">
      <c r="B70" s="78" t="s">
        <v>95</v>
      </c>
      <c r="C70" s="79"/>
      <c r="D70" s="80"/>
      <c r="E70" s="36"/>
      <c r="I70" s="78" t="s">
        <v>95</v>
      </c>
      <c r="J70" s="79"/>
      <c r="K70" s="80"/>
      <c r="L70" s="36"/>
    </row>
    <row r="71" spans="2:13" ht="13" x14ac:dyDescent="0.3">
      <c r="B71" s="78" t="s">
        <v>117</v>
      </c>
      <c r="C71" s="79"/>
      <c r="D71" s="80"/>
      <c r="E71" s="36"/>
      <c r="I71" s="78" t="s">
        <v>117</v>
      </c>
      <c r="J71" s="79"/>
      <c r="K71" s="80"/>
      <c r="L71" s="36"/>
    </row>
    <row r="72" spans="2:13" ht="13" x14ac:dyDescent="0.3">
      <c r="B72" s="36"/>
      <c r="C72" s="37" t="s">
        <v>97</v>
      </c>
      <c r="D72" s="37" t="s">
        <v>98</v>
      </c>
      <c r="E72" s="37" t="s">
        <v>114</v>
      </c>
      <c r="I72" s="36"/>
      <c r="J72" s="37" t="s">
        <v>97</v>
      </c>
      <c r="K72" s="37" t="s">
        <v>98</v>
      </c>
      <c r="L72" s="37" t="s">
        <v>115</v>
      </c>
    </row>
    <row r="73" spans="2:13" ht="14.5" x14ac:dyDescent="0.35">
      <c r="B73" s="36" t="s">
        <v>99</v>
      </c>
      <c r="C73" s="36">
        <f>C53</f>
        <v>60</v>
      </c>
      <c r="D73" s="38">
        <f>C73*F73</f>
        <v>18060</v>
      </c>
      <c r="E73" s="38">
        <f>(C25+C45+C65)*0.85*20</f>
        <v>8670</v>
      </c>
      <c r="F73" s="45">
        <v>301</v>
      </c>
      <c r="I73" s="36" t="s">
        <v>99</v>
      </c>
      <c r="J73" s="36">
        <f>J53</f>
        <v>60</v>
      </c>
      <c r="K73" s="38">
        <f t="shared" ref="K73:K84" si="16">J73*M73</f>
        <v>22560</v>
      </c>
      <c r="L73" s="38">
        <f>(J25+J45+J65)*0.85*20</f>
        <v>8670</v>
      </c>
      <c r="M73" s="55">
        <f>0.75*(301)+0.25*(601)</f>
        <v>376</v>
      </c>
    </row>
    <row r="74" spans="2:13" ht="14.5" x14ac:dyDescent="0.35">
      <c r="B74" s="36" t="s">
        <v>100</v>
      </c>
      <c r="C74" s="36">
        <f t="shared" ref="C74:C84" si="17">C54</f>
        <v>10</v>
      </c>
      <c r="D74" s="38">
        <f t="shared" ref="D74:D84" si="18">C74*F74</f>
        <v>2759.1666666666661</v>
      </c>
      <c r="E74" s="38">
        <f>E73</f>
        <v>8670</v>
      </c>
      <c r="F74" s="45">
        <f>301*(11/12)</f>
        <v>275.91666666666663</v>
      </c>
      <c r="I74" s="36" t="s">
        <v>100</v>
      </c>
      <c r="J74" s="36">
        <f t="shared" ref="J74:J84" si="19">J54</f>
        <v>10</v>
      </c>
      <c r="K74" s="38">
        <f t="shared" si="16"/>
        <v>3446.6666666666661</v>
      </c>
      <c r="L74" s="38">
        <f>L73</f>
        <v>8670</v>
      </c>
      <c r="M74" s="55">
        <f>(0.75*(301)+0.25*(601))*(11/12)</f>
        <v>344.66666666666663</v>
      </c>
    </row>
    <row r="75" spans="2:13" ht="14.5" x14ac:dyDescent="0.35">
      <c r="B75" s="36" t="s">
        <v>101</v>
      </c>
      <c r="C75" s="36">
        <f t="shared" si="17"/>
        <v>10</v>
      </c>
      <c r="D75" s="38">
        <f t="shared" si="18"/>
        <v>2508.3333333333335</v>
      </c>
      <c r="E75" s="38">
        <f t="shared" ref="E75:E84" si="20">E74</f>
        <v>8670</v>
      </c>
      <c r="F75" s="45">
        <f>301*(10/12)</f>
        <v>250.83333333333334</v>
      </c>
      <c r="I75" s="36" t="s">
        <v>101</v>
      </c>
      <c r="J75" s="36">
        <f t="shared" si="19"/>
        <v>10</v>
      </c>
      <c r="K75" s="38">
        <f t="shared" si="16"/>
        <v>3133.3333333333339</v>
      </c>
      <c r="L75" s="38">
        <f t="shared" ref="L75:L84" si="21">L74</f>
        <v>8670</v>
      </c>
      <c r="M75" s="55">
        <f>(0.75*(301)+0.25*(601))*(10/12)</f>
        <v>313.33333333333337</v>
      </c>
    </row>
    <row r="76" spans="2:13" ht="14.5" x14ac:dyDescent="0.35">
      <c r="B76" s="36" t="s">
        <v>102</v>
      </c>
      <c r="C76" s="36">
        <f t="shared" si="17"/>
        <v>10</v>
      </c>
      <c r="D76" s="38">
        <f t="shared" si="18"/>
        <v>2257.5</v>
      </c>
      <c r="E76" s="38">
        <f t="shared" si="20"/>
        <v>8670</v>
      </c>
      <c r="F76" s="45">
        <f>301*(9/12)</f>
        <v>225.75</v>
      </c>
      <c r="I76" s="36" t="s">
        <v>102</v>
      </c>
      <c r="J76" s="36">
        <f t="shared" si="19"/>
        <v>10</v>
      </c>
      <c r="K76" s="38">
        <f t="shared" si="16"/>
        <v>2820</v>
      </c>
      <c r="L76" s="38">
        <f t="shared" si="21"/>
        <v>8670</v>
      </c>
      <c r="M76" s="55">
        <f>(0.75*(301)+0.25*(601))*(9/12)</f>
        <v>282</v>
      </c>
    </row>
    <row r="77" spans="2:13" ht="14.5" x14ac:dyDescent="0.35">
      <c r="B77" s="36" t="s">
        <v>103</v>
      </c>
      <c r="C77" s="36">
        <f t="shared" si="17"/>
        <v>10</v>
      </c>
      <c r="D77" s="38">
        <f t="shared" si="18"/>
        <v>2006.6666666666665</v>
      </c>
      <c r="E77" s="38">
        <f t="shared" si="20"/>
        <v>8670</v>
      </c>
      <c r="F77" s="45">
        <f>301*(8/12)</f>
        <v>200.66666666666666</v>
      </c>
      <c r="I77" s="36" t="s">
        <v>103</v>
      </c>
      <c r="J77" s="36">
        <f t="shared" si="19"/>
        <v>10</v>
      </c>
      <c r="K77" s="38">
        <f t="shared" si="16"/>
        <v>2506.6666666666665</v>
      </c>
      <c r="L77" s="38">
        <f t="shared" si="21"/>
        <v>8670</v>
      </c>
      <c r="M77" s="55">
        <f>(0.75*(301)+0.25*(601))*(8/12)</f>
        <v>250.66666666666666</v>
      </c>
    </row>
    <row r="78" spans="2:13" ht="14.5" x14ac:dyDescent="0.35">
      <c r="B78" s="36" t="s">
        <v>104</v>
      </c>
      <c r="C78" s="36">
        <f t="shared" si="17"/>
        <v>10</v>
      </c>
      <c r="D78" s="38">
        <f t="shared" si="18"/>
        <v>1755.8333333333335</v>
      </c>
      <c r="E78" s="38">
        <f t="shared" si="20"/>
        <v>8670</v>
      </c>
      <c r="F78" s="45">
        <f>301*(7/12)</f>
        <v>175.58333333333334</v>
      </c>
      <c r="I78" s="36" t="s">
        <v>104</v>
      </c>
      <c r="J78" s="36">
        <f t="shared" si="19"/>
        <v>10</v>
      </c>
      <c r="K78" s="38">
        <f t="shared" si="16"/>
        <v>3465</v>
      </c>
      <c r="L78" s="38">
        <f t="shared" si="21"/>
        <v>8670</v>
      </c>
      <c r="M78" s="55">
        <f>(0.75*(601)+0.25*(573))*(7/12)</f>
        <v>346.5</v>
      </c>
    </row>
    <row r="79" spans="2:13" ht="14.5" x14ac:dyDescent="0.35">
      <c r="B79" s="36" t="s">
        <v>105</v>
      </c>
      <c r="C79" s="36">
        <f t="shared" si="17"/>
        <v>10</v>
      </c>
      <c r="D79" s="38">
        <f t="shared" si="18"/>
        <v>1505</v>
      </c>
      <c r="E79" s="38">
        <f t="shared" si="20"/>
        <v>8670</v>
      </c>
      <c r="F79" s="45">
        <f>301*(6/12)</f>
        <v>150.5</v>
      </c>
      <c r="I79" s="36" t="s">
        <v>105</v>
      </c>
      <c r="J79" s="36">
        <f t="shared" si="19"/>
        <v>10</v>
      </c>
      <c r="K79" s="38">
        <f t="shared" si="16"/>
        <v>1827.5</v>
      </c>
      <c r="L79" s="38">
        <f t="shared" si="21"/>
        <v>8670</v>
      </c>
      <c r="M79" s="55">
        <f>(0.75*(287)+0.25*(601))*(6/12)</f>
        <v>182.75</v>
      </c>
    </row>
    <row r="80" spans="2:13" ht="14.5" x14ac:dyDescent="0.35">
      <c r="B80" s="36" t="s">
        <v>106</v>
      </c>
      <c r="C80" s="36">
        <f t="shared" si="17"/>
        <v>10</v>
      </c>
      <c r="D80" s="38">
        <f t="shared" si="18"/>
        <v>1254.1666666666667</v>
      </c>
      <c r="E80" s="38">
        <f t="shared" si="20"/>
        <v>8670</v>
      </c>
      <c r="F80" s="45">
        <f>301*(5/12)</f>
        <v>125.41666666666667</v>
      </c>
      <c r="I80" s="36" t="s">
        <v>106</v>
      </c>
      <c r="J80" s="36">
        <f t="shared" si="19"/>
        <v>10</v>
      </c>
      <c r="K80" s="38">
        <f t="shared" si="16"/>
        <v>1566.666666666667</v>
      </c>
      <c r="L80" s="38">
        <f t="shared" si="21"/>
        <v>8670</v>
      </c>
      <c r="M80" s="55">
        <f>(0.75*(301)+0.25*(601))*(5/12)</f>
        <v>156.66666666666669</v>
      </c>
    </row>
    <row r="81" spans="2:13" ht="14.5" x14ac:dyDescent="0.35">
      <c r="B81" s="36" t="s">
        <v>107</v>
      </c>
      <c r="C81" s="36">
        <f t="shared" si="17"/>
        <v>10</v>
      </c>
      <c r="D81" s="38">
        <f t="shared" si="18"/>
        <v>1003.3333333333333</v>
      </c>
      <c r="E81" s="38">
        <f t="shared" si="20"/>
        <v>8670</v>
      </c>
      <c r="F81" s="45">
        <f>301*(4/12)</f>
        <v>100.33333333333333</v>
      </c>
      <c r="I81" s="36" t="s">
        <v>107</v>
      </c>
      <c r="J81" s="36">
        <f t="shared" si="19"/>
        <v>10</v>
      </c>
      <c r="K81" s="38">
        <f t="shared" si="16"/>
        <v>1253.3333333333333</v>
      </c>
      <c r="L81" s="38">
        <f t="shared" si="21"/>
        <v>8670</v>
      </c>
      <c r="M81" s="55">
        <f>(0.75*(301)+0.25*(601))*(4/12)</f>
        <v>125.33333333333333</v>
      </c>
    </row>
    <row r="82" spans="2:13" ht="14.5" x14ac:dyDescent="0.35">
      <c r="B82" s="36" t="s">
        <v>108</v>
      </c>
      <c r="C82" s="36">
        <f t="shared" si="17"/>
        <v>10</v>
      </c>
      <c r="D82" s="38">
        <f t="shared" si="18"/>
        <v>752.5</v>
      </c>
      <c r="E82" s="38">
        <f t="shared" si="20"/>
        <v>8670</v>
      </c>
      <c r="F82" s="45">
        <f>301*(3/12)</f>
        <v>75.25</v>
      </c>
      <c r="I82" s="36" t="s">
        <v>108</v>
      </c>
      <c r="J82" s="36">
        <f t="shared" si="19"/>
        <v>10</v>
      </c>
      <c r="K82" s="38">
        <f t="shared" si="16"/>
        <v>940</v>
      </c>
      <c r="L82" s="38">
        <f t="shared" si="21"/>
        <v>8670</v>
      </c>
      <c r="M82" s="55">
        <f>(0.75*(301)+0.25*(601))*(3/12)</f>
        <v>94</v>
      </c>
    </row>
    <row r="83" spans="2:13" ht="14.5" x14ac:dyDescent="0.35">
      <c r="B83" s="36" t="s">
        <v>109</v>
      </c>
      <c r="C83" s="36">
        <f t="shared" si="17"/>
        <v>10</v>
      </c>
      <c r="D83" s="38">
        <f t="shared" si="18"/>
        <v>501.66666666666663</v>
      </c>
      <c r="E83" s="38">
        <f t="shared" si="20"/>
        <v>8670</v>
      </c>
      <c r="F83" s="45">
        <f>301*(2/12)</f>
        <v>50.166666666666664</v>
      </c>
      <c r="I83" s="36" t="s">
        <v>109</v>
      </c>
      <c r="J83" s="36">
        <f t="shared" si="19"/>
        <v>10</v>
      </c>
      <c r="K83" s="38">
        <f t="shared" si="16"/>
        <v>626.66666666666663</v>
      </c>
      <c r="L83" s="38">
        <f t="shared" si="21"/>
        <v>8670</v>
      </c>
      <c r="M83" s="55">
        <f>(0.75*(301)+0.25*(601))*(2/12)</f>
        <v>62.666666666666664</v>
      </c>
    </row>
    <row r="84" spans="2:13" ht="14.5" x14ac:dyDescent="0.35">
      <c r="B84" s="36" t="s">
        <v>110</v>
      </c>
      <c r="C84" s="36">
        <f t="shared" si="17"/>
        <v>10</v>
      </c>
      <c r="D84" s="38">
        <f t="shared" si="18"/>
        <v>250.83333333333331</v>
      </c>
      <c r="E84" s="38">
        <f t="shared" si="20"/>
        <v>8670</v>
      </c>
      <c r="F84" s="45">
        <f>301*(1/12)</f>
        <v>25.083333333333332</v>
      </c>
      <c r="I84" s="36" t="s">
        <v>110</v>
      </c>
      <c r="J84" s="36">
        <f t="shared" si="19"/>
        <v>10</v>
      </c>
      <c r="K84" s="38">
        <f t="shared" si="16"/>
        <v>313.33333333333331</v>
      </c>
      <c r="L84" s="38">
        <f t="shared" si="21"/>
        <v>8670</v>
      </c>
      <c r="M84" s="55">
        <f>(0.75*(301)+0.25*(601))*(1/12)</f>
        <v>31.333333333333332</v>
      </c>
    </row>
    <row r="85" spans="2:13" ht="13" x14ac:dyDescent="0.3">
      <c r="B85" s="37" t="s">
        <v>111</v>
      </c>
      <c r="C85" s="37">
        <f>SUM(C73:C84)</f>
        <v>170</v>
      </c>
      <c r="D85" s="39">
        <f>SUM(D73:D84)</f>
        <v>34615</v>
      </c>
      <c r="E85" s="39">
        <f>SUM(E73:E84)</f>
        <v>104040</v>
      </c>
      <c r="I85" s="37" t="s">
        <v>111</v>
      </c>
      <c r="J85" s="37">
        <f>SUM(J73:J84)</f>
        <v>170</v>
      </c>
      <c r="K85" s="39">
        <f>SUM(K73:K84)</f>
        <v>44459.166666666664</v>
      </c>
      <c r="L85" s="39">
        <f>SUM(L73:L84)</f>
        <v>104040</v>
      </c>
    </row>
    <row r="86" spans="2:13" ht="13" x14ac:dyDescent="0.3">
      <c r="B86" s="37" t="s">
        <v>112</v>
      </c>
      <c r="C86" s="37"/>
      <c r="D86" s="39">
        <f>D85+E85</f>
        <v>138655</v>
      </c>
      <c r="I86" s="37" t="s">
        <v>112</v>
      </c>
      <c r="J86" s="37"/>
      <c r="K86" s="39">
        <f>K85+L85</f>
        <v>148499.16666666666</v>
      </c>
    </row>
    <row r="87" spans="2:13" x14ac:dyDescent="0.25">
      <c r="B87" s="35">
        <v>4</v>
      </c>
    </row>
    <row r="88" spans="2:13" x14ac:dyDescent="0.25">
      <c r="B88" s="35">
        <v>5</v>
      </c>
    </row>
    <row r="89" spans="2:13" ht="15.5" x14ac:dyDescent="0.35">
      <c r="B89" s="77" t="s">
        <v>93</v>
      </c>
      <c r="C89" s="77"/>
      <c r="D89" s="77"/>
      <c r="I89" s="77" t="s">
        <v>94</v>
      </c>
      <c r="J89" s="77"/>
      <c r="K89" s="77"/>
    </row>
    <row r="90" spans="2:13" ht="13" x14ac:dyDescent="0.3">
      <c r="B90" s="78" t="s">
        <v>95</v>
      </c>
      <c r="C90" s="79"/>
      <c r="D90" s="80"/>
      <c r="E90" s="36"/>
      <c r="I90" s="78" t="s">
        <v>95</v>
      </c>
      <c r="J90" s="79"/>
      <c r="K90" s="80"/>
      <c r="L90" s="36"/>
    </row>
    <row r="91" spans="2:13" ht="13" x14ac:dyDescent="0.3">
      <c r="B91" s="78" t="s">
        <v>118</v>
      </c>
      <c r="C91" s="79"/>
      <c r="D91" s="80"/>
      <c r="E91" s="36"/>
      <c r="I91" s="78" t="s">
        <v>118</v>
      </c>
      <c r="J91" s="79"/>
      <c r="K91" s="80"/>
      <c r="L91" s="36"/>
    </row>
    <row r="92" spans="2:13" ht="13" x14ac:dyDescent="0.3">
      <c r="B92" s="36"/>
      <c r="C92" s="37" t="s">
        <v>97</v>
      </c>
      <c r="D92" s="37" t="s">
        <v>98</v>
      </c>
      <c r="E92" s="37" t="s">
        <v>114</v>
      </c>
      <c r="I92" s="36"/>
      <c r="J92" s="37" t="s">
        <v>97</v>
      </c>
      <c r="K92" s="37" t="s">
        <v>98</v>
      </c>
      <c r="L92" s="37" t="s">
        <v>115</v>
      </c>
    </row>
    <row r="93" spans="2:13" ht="14.5" x14ac:dyDescent="0.35">
      <c r="B93" s="36" t="s">
        <v>99</v>
      </c>
      <c r="C93" s="36">
        <f>C73</f>
        <v>60</v>
      </c>
      <c r="D93" s="38">
        <f>C93*F93</f>
        <v>18060</v>
      </c>
      <c r="E93" s="38">
        <f>(C25+C45+C65+C85)*0.85*20</f>
        <v>11560</v>
      </c>
      <c r="F93" s="45">
        <v>301</v>
      </c>
      <c r="I93" s="36" t="s">
        <v>99</v>
      </c>
      <c r="J93" s="36">
        <f>J73</f>
        <v>60</v>
      </c>
      <c r="K93" s="38">
        <f t="shared" ref="K93:K104" si="22">J93*M93</f>
        <v>22560</v>
      </c>
      <c r="L93" s="38">
        <f>(C25+C45+C65+C85)*0.85*20</f>
        <v>11560</v>
      </c>
      <c r="M93" s="55">
        <f>0.75*(301)+0.25*(601)</f>
        <v>376</v>
      </c>
    </row>
    <row r="94" spans="2:13" ht="14.5" x14ac:dyDescent="0.35">
      <c r="B94" s="36" t="s">
        <v>100</v>
      </c>
      <c r="C94" s="36">
        <f t="shared" ref="C94:C104" si="23">C74</f>
        <v>10</v>
      </c>
      <c r="D94" s="38">
        <f t="shared" ref="D94:D104" si="24">C94*F94</f>
        <v>2759.1666666666661</v>
      </c>
      <c r="E94" s="38">
        <f>E93</f>
        <v>11560</v>
      </c>
      <c r="F94" s="45">
        <f>301*(11/12)</f>
        <v>275.91666666666663</v>
      </c>
      <c r="I94" s="36" t="s">
        <v>100</v>
      </c>
      <c r="J94" s="36">
        <f t="shared" ref="J94:J104" si="25">J74</f>
        <v>10</v>
      </c>
      <c r="K94" s="38">
        <f t="shared" si="22"/>
        <v>3446.6666666666661</v>
      </c>
      <c r="L94" s="38">
        <f>L93</f>
        <v>11560</v>
      </c>
      <c r="M94" s="55">
        <f>(0.75*(301)+0.25*(601))*(11/12)</f>
        <v>344.66666666666663</v>
      </c>
    </row>
    <row r="95" spans="2:13" ht="14.5" x14ac:dyDescent="0.35">
      <c r="B95" s="36" t="s">
        <v>101</v>
      </c>
      <c r="C95" s="36">
        <f t="shared" si="23"/>
        <v>10</v>
      </c>
      <c r="D95" s="38">
        <f t="shared" si="24"/>
        <v>2508.3333333333335</v>
      </c>
      <c r="E95" s="38">
        <f t="shared" ref="E95:E104" si="26">E94</f>
        <v>11560</v>
      </c>
      <c r="F95" s="45">
        <f>301*(10/12)</f>
        <v>250.83333333333334</v>
      </c>
      <c r="I95" s="36" t="s">
        <v>101</v>
      </c>
      <c r="J95" s="36">
        <f t="shared" si="25"/>
        <v>10</v>
      </c>
      <c r="K95" s="38">
        <f t="shared" si="22"/>
        <v>3133.3333333333339</v>
      </c>
      <c r="L95" s="38">
        <f t="shared" ref="L95:L104" si="27">L94</f>
        <v>11560</v>
      </c>
      <c r="M95" s="55">
        <f>(0.75*(301)+0.25*(601))*(10/12)</f>
        <v>313.33333333333337</v>
      </c>
    </row>
    <row r="96" spans="2:13" ht="14.5" x14ac:dyDescent="0.35">
      <c r="B96" s="36" t="s">
        <v>102</v>
      </c>
      <c r="C96" s="36">
        <f t="shared" si="23"/>
        <v>10</v>
      </c>
      <c r="D96" s="38">
        <f t="shared" si="24"/>
        <v>2257.5</v>
      </c>
      <c r="E96" s="38">
        <f t="shared" si="26"/>
        <v>11560</v>
      </c>
      <c r="F96" s="45">
        <f>301*(9/12)</f>
        <v>225.75</v>
      </c>
      <c r="I96" s="36" t="s">
        <v>102</v>
      </c>
      <c r="J96" s="36">
        <f t="shared" si="25"/>
        <v>10</v>
      </c>
      <c r="K96" s="38">
        <f t="shared" si="22"/>
        <v>2820</v>
      </c>
      <c r="L96" s="38">
        <f t="shared" si="27"/>
        <v>11560</v>
      </c>
      <c r="M96" s="55">
        <f>(0.75*(301)+0.25*(601))*(9/12)</f>
        <v>282</v>
      </c>
    </row>
    <row r="97" spans="2:13" ht="14.5" x14ac:dyDescent="0.35">
      <c r="B97" s="36" t="s">
        <v>103</v>
      </c>
      <c r="C97" s="36">
        <f t="shared" si="23"/>
        <v>10</v>
      </c>
      <c r="D97" s="38">
        <f t="shared" si="24"/>
        <v>2006.6666666666665</v>
      </c>
      <c r="E97" s="38">
        <f t="shared" si="26"/>
        <v>11560</v>
      </c>
      <c r="F97" s="45">
        <f>301*(8/12)</f>
        <v>200.66666666666666</v>
      </c>
      <c r="I97" s="36" t="s">
        <v>103</v>
      </c>
      <c r="J97" s="36">
        <f t="shared" si="25"/>
        <v>10</v>
      </c>
      <c r="K97" s="38">
        <f t="shared" si="22"/>
        <v>2506.6666666666665</v>
      </c>
      <c r="L97" s="38">
        <f t="shared" si="27"/>
        <v>11560</v>
      </c>
      <c r="M97" s="55">
        <f>(0.75*(301)+0.25*(601))*(8/12)</f>
        <v>250.66666666666666</v>
      </c>
    </row>
    <row r="98" spans="2:13" ht="14.5" x14ac:dyDescent="0.35">
      <c r="B98" s="36" t="s">
        <v>104</v>
      </c>
      <c r="C98" s="36">
        <f t="shared" si="23"/>
        <v>10</v>
      </c>
      <c r="D98" s="38">
        <f>C98*F98</f>
        <v>1755.8333333333335</v>
      </c>
      <c r="E98" s="38">
        <f t="shared" si="26"/>
        <v>11560</v>
      </c>
      <c r="F98" s="45">
        <f>301*(7/12)</f>
        <v>175.58333333333334</v>
      </c>
      <c r="I98" s="36" t="s">
        <v>104</v>
      </c>
      <c r="J98" s="36">
        <f t="shared" si="25"/>
        <v>10</v>
      </c>
      <c r="K98" s="38">
        <f t="shared" si="22"/>
        <v>3465</v>
      </c>
      <c r="L98" s="38">
        <f t="shared" si="27"/>
        <v>11560</v>
      </c>
      <c r="M98" s="55">
        <f>(0.75*(601)+0.25*(573))*(7/12)</f>
        <v>346.5</v>
      </c>
    </row>
    <row r="99" spans="2:13" ht="14.5" x14ac:dyDescent="0.35">
      <c r="B99" s="36" t="s">
        <v>105</v>
      </c>
      <c r="C99" s="36">
        <f t="shared" si="23"/>
        <v>10</v>
      </c>
      <c r="D99" s="38">
        <f t="shared" si="24"/>
        <v>1505</v>
      </c>
      <c r="E99" s="38">
        <f t="shared" si="26"/>
        <v>11560</v>
      </c>
      <c r="F99" s="45">
        <f>301*(6/12)</f>
        <v>150.5</v>
      </c>
      <c r="I99" s="36" t="s">
        <v>105</v>
      </c>
      <c r="J99" s="36">
        <f t="shared" si="25"/>
        <v>10</v>
      </c>
      <c r="K99" s="38">
        <f t="shared" si="22"/>
        <v>1827.5</v>
      </c>
      <c r="L99" s="38">
        <f t="shared" si="27"/>
        <v>11560</v>
      </c>
      <c r="M99" s="55">
        <f>(0.75*(287)+0.25*(601))*(6/12)</f>
        <v>182.75</v>
      </c>
    </row>
    <row r="100" spans="2:13" ht="14.5" x14ac:dyDescent="0.35">
      <c r="B100" s="36" t="s">
        <v>106</v>
      </c>
      <c r="C100" s="36">
        <f t="shared" si="23"/>
        <v>10</v>
      </c>
      <c r="D100" s="38">
        <f t="shared" si="24"/>
        <v>1254.1666666666667</v>
      </c>
      <c r="E100" s="38">
        <f t="shared" si="26"/>
        <v>11560</v>
      </c>
      <c r="F100" s="45">
        <f>301*(5/12)</f>
        <v>125.41666666666667</v>
      </c>
      <c r="I100" s="36" t="s">
        <v>106</v>
      </c>
      <c r="J100" s="36">
        <f t="shared" si="25"/>
        <v>10</v>
      </c>
      <c r="K100" s="38">
        <f t="shared" si="22"/>
        <v>1566.666666666667</v>
      </c>
      <c r="L100" s="38">
        <f t="shared" si="27"/>
        <v>11560</v>
      </c>
      <c r="M100" s="55">
        <f>(0.75*(301)+0.25*(601))*(5/12)</f>
        <v>156.66666666666669</v>
      </c>
    </row>
    <row r="101" spans="2:13" ht="14.5" x14ac:dyDescent="0.35">
      <c r="B101" s="36" t="s">
        <v>107</v>
      </c>
      <c r="C101" s="36">
        <f t="shared" si="23"/>
        <v>10</v>
      </c>
      <c r="D101" s="38">
        <f t="shared" si="24"/>
        <v>1003.3333333333333</v>
      </c>
      <c r="E101" s="38">
        <f t="shared" si="26"/>
        <v>11560</v>
      </c>
      <c r="F101" s="45">
        <f>301*(4/12)</f>
        <v>100.33333333333333</v>
      </c>
      <c r="I101" s="36" t="s">
        <v>107</v>
      </c>
      <c r="J101" s="36">
        <f t="shared" si="25"/>
        <v>10</v>
      </c>
      <c r="K101" s="38">
        <f t="shared" si="22"/>
        <v>1253.3333333333333</v>
      </c>
      <c r="L101" s="38">
        <f t="shared" si="27"/>
        <v>11560</v>
      </c>
      <c r="M101" s="55">
        <f>(0.75*(301)+0.25*(601))*(4/12)</f>
        <v>125.33333333333333</v>
      </c>
    </row>
    <row r="102" spans="2:13" ht="14.5" x14ac:dyDescent="0.35">
      <c r="B102" s="36" t="s">
        <v>108</v>
      </c>
      <c r="C102" s="36">
        <f t="shared" si="23"/>
        <v>10</v>
      </c>
      <c r="D102" s="38">
        <f t="shared" si="24"/>
        <v>752.5</v>
      </c>
      <c r="E102" s="38">
        <f t="shared" si="26"/>
        <v>11560</v>
      </c>
      <c r="F102" s="45">
        <f>301*(3/12)</f>
        <v>75.25</v>
      </c>
      <c r="I102" s="36" t="s">
        <v>108</v>
      </c>
      <c r="J102" s="36">
        <f t="shared" si="25"/>
        <v>10</v>
      </c>
      <c r="K102" s="38">
        <f t="shared" si="22"/>
        <v>940</v>
      </c>
      <c r="L102" s="38">
        <f t="shared" si="27"/>
        <v>11560</v>
      </c>
      <c r="M102" s="55">
        <f>(0.75*(301)+0.25*(601))*(3/12)</f>
        <v>94</v>
      </c>
    </row>
    <row r="103" spans="2:13" ht="14.5" x14ac:dyDescent="0.35">
      <c r="B103" s="36" t="s">
        <v>109</v>
      </c>
      <c r="C103" s="36">
        <f t="shared" si="23"/>
        <v>10</v>
      </c>
      <c r="D103" s="38">
        <f t="shared" si="24"/>
        <v>501.66666666666663</v>
      </c>
      <c r="E103" s="38">
        <f t="shared" si="26"/>
        <v>11560</v>
      </c>
      <c r="F103" s="45">
        <f>301*(2/12)</f>
        <v>50.166666666666664</v>
      </c>
      <c r="I103" s="36" t="s">
        <v>109</v>
      </c>
      <c r="J103" s="36">
        <f t="shared" si="25"/>
        <v>10</v>
      </c>
      <c r="K103" s="38">
        <f t="shared" si="22"/>
        <v>626.66666666666663</v>
      </c>
      <c r="L103" s="38">
        <f t="shared" si="27"/>
        <v>11560</v>
      </c>
      <c r="M103" s="55">
        <f>(0.75*(301)+0.25*(601))*(2/12)</f>
        <v>62.666666666666664</v>
      </c>
    </row>
    <row r="104" spans="2:13" ht="14.5" x14ac:dyDescent="0.35">
      <c r="B104" s="36" t="s">
        <v>110</v>
      </c>
      <c r="C104" s="36">
        <f t="shared" si="23"/>
        <v>10</v>
      </c>
      <c r="D104" s="38">
        <f t="shared" si="24"/>
        <v>250.83333333333331</v>
      </c>
      <c r="E104" s="38">
        <f t="shared" si="26"/>
        <v>11560</v>
      </c>
      <c r="F104" s="45">
        <f>301*(1/12)</f>
        <v>25.083333333333332</v>
      </c>
      <c r="I104" s="36" t="s">
        <v>110</v>
      </c>
      <c r="J104" s="36">
        <f t="shared" si="25"/>
        <v>10</v>
      </c>
      <c r="K104" s="38">
        <f t="shared" si="22"/>
        <v>313.33333333333331</v>
      </c>
      <c r="L104" s="38">
        <f t="shared" si="27"/>
        <v>11560</v>
      </c>
      <c r="M104" s="55">
        <f>(0.75*(301)+0.25*(601))*(1/12)</f>
        <v>31.333333333333332</v>
      </c>
    </row>
    <row r="105" spans="2:13" ht="13" x14ac:dyDescent="0.3">
      <c r="B105" s="37" t="s">
        <v>111</v>
      </c>
      <c r="C105" s="37">
        <f>SUM(C93:C104)</f>
        <v>170</v>
      </c>
      <c r="D105" s="39">
        <f>SUM(D93:D104)</f>
        <v>34615</v>
      </c>
      <c r="E105" s="39">
        <f>SUM(E93:E104)</f>
        <v>138720</v>
      </c>
      <c r="I105" s="37" t="s">
        <v>111</v>
      </c>
      <c r="J105" s="37">
        <f>SUM(J93:J104)</f>
        <v>170</v>
      </c>
      <c r="K105" s="39">
        <f>SUM(K93:K104)</f>
        <v>44459.166666666664</v>
      </c>
      <c r="L105" s="39">
        <f>SUM(L93:L104)</f>
        <v>138720</v>
      </c>
    </row>
    <row r="106" spans="2:13" ht="13" x14ac:dyDescent="0.3">
      <c r="B106" s="37" t="s">
        <v>112</v>
      </c>
      <c r="C106" s="37"/>
      <c r="D106" s="39">
        <f>D105+E105</f>
        <v>173335</v>
      </c>
      <c r="I106" s="37" t="s">
        <v>112</v>
      </c>
      <c r="J106" s="37"/>
      <c r="K106" s="39">
        <f>K105+L105</f>
        <v>183179.16666666666</v>
      </c>
    </row>
    <row r="109" spans="2:13" ht="15.5" x14ac:dyDescent="0.35">
      <c r="B109" s="77" t="s">
        <v>93</v>
      </c>
      <c r="C109" s="77"/>
      <c r="D109" s="77"/>
      <c r="I109" s="77" t="s">
        <v>94</v>
      </c>
      <c r="J109" s="77"/>
      <c r="K109" s="77"/>
    </row>
    <row r="110" spans="2:13" ht="13" x14ac:dyDescent="0.3">
      <c r="B110" s="78" t="s">
        <v>95</v>
      </c>
      <c r="C110" s="79"/>
      <c r="D110" s="80"/>
      <c r="E110" s="36"/>
      <c r="I110" s="78" t="s">
        <v>95</v>
      </c>
      <c r="J110" s="79"/>
      <c r="K110" s="80"/>
      <c r="L110" s="36"/>
    </row>
    <row r="111" spans="2:13" ht="13" x14ac:dyDescent="0.3">
      <c r="B111" s="78" t="s">
        <v>119</v>
      </c>
      <c r="C111" s="79"/>
      <c r="D111" s="80"/>
      <c r="E111" s="36"/>
      <c r="I111" s="78" t="s">
        <v>119</v>
      </c>
      <c r="J111" s="79"/>
      <c r="K111" s="80"/>
      <c r="L111" s="36"/>
    </row>
    <row r="112" spans="2:13" ht="13" x14ac:dyDescent="0.3">
      <c r="B112" s="36"/>
      <c r="C112" s="37" t="s">
        <v>97</v>
      </c>
      <c r="D112" s="37" t="s">
        <v>98</v>
      </c>
      <c r="E112" s="37" t="s">
        <v>114</v>
      </c>
      <c r="I112" s="36"/>
      <c r="J112" s="37" t="s">
        <v>97</v>
      </c>
      <c r="K112" s="37" t="s">
        <v>98</v>
      </c>
      <c r="L112" s="37" t="s">
        <v>115</v>
      </c>
    </row>
    <row r="113" spans="2:13" ht="14.5" x14ac:dyDescent="0.35">
      <c r="B113" s="36" t="s">
        <v>99</v>
      </c>
      <c r="C113" s="36">
        <f>C93</f>
        <v>60</v>
      </c>
      <c r="D113" s="38">
        <f>C113*F113</f>
        <v>18060</v>
      </c>
      <c r="E113" s="38">
        <f>(C25+C45+C65+C85+C105)*0.85*20</f>
        <v>14450</v>
      </c>
      <c r="F113" s="45">
        <v>301</v>
      </c>
      <c r="I113" s="36" t="s">
        <v>99</v>
      </c>
      <c r="J113" s="36">
        <f>J93</f>
        <v>60</v>
      </c>
      <c r="K113" s="38">
        <f t="shared" ref="K113:K124" si="28">J113*M113</f>
        <v>22560</v>
      </c>
      <c r="L113" s="38">
        <f>(J25+J45+J65+J85+J105)*0.85*20</f>
        <v>14450</v>
      </c>
      <c r="M113" s="55">
        <f>0.75*(301)+0.25*(601)</f>
        <v>376</v>
      </c>
    </row>
    <row r="114" spans="2:13" ht="14.5" x14ac:dyDescent="0.35">
      <c r="B114" s="36" t="s">
        <v>100</v>
      </c>
      <c r="C114" s="36">
        <f t="shared" ref="C114:C124" si="29">C94</f>
        <v>10</v>
      </c>
      <c r="D114" s="38">
        <f t="shared" ref="D114:D124" si="30">C114*F114</f>
        <v>2759.1666666666661</v>
      </c>
      <c r="E114" s="38">
        <f>E113</f>
        <v>14450</v>
      </c>
      <c r="F114" s="45">
        <f>301*(11/12)</f>
        <v>275.91666666666663</v>
      </c>
      <c r="I114" s="36" t="s">
        <v>100</v>
      </c>
      <c r="J114" s="36">
        <f t="shared" ref="J114:J124" si="31">J94</f>
        <v>10</v>
      </c>
      <c r="K114" s="38">
        <f t="shared" si="28"/>
        <v>3446.6666666666661</v>
      </c>
      <c r="L114" s="38">
        <f>L113</f>
        <v>14450</v>
      </c>
      <c r="M114" s="55">
        <f>(0.75*(301)+0.25*(601))*(11/12)</f>
        <v>344.66666666666663</v>
      </c>
    </row>
    <row r="115" spans="2:13" ht="14.5" x14ac:dyDescent="0.35">
      <c r="B115" s="36" t="s">
        <v>101</v>
      </c>
      <c r="C115" s="36">
        <f t="shared" si="29"/>
        <v>10</v>
      </c>
      <c r="D115" s="38">
        <f t="shared" si="30"/>
        <v>2508.3333333333335</v>
      </c>
      <c r="E115" s="38">
        <f t="shared" ref="E115:E124" si="32">E114</f>
        <v>14450</v>
      </c>
      <c r="F115" s="45">
        <f>301*(10/12)</f>
        <v>250.83333333333334</v>
      </c>
      <c r="I115" s="36" t="s">
        <v>101</v>
      </c>
      <c r="J115" s="36">
        <f t="shared" si="31"/>
        <v>10</v>
      </c>
      <c r="K115" s="38">
        <f t="shared" si="28"/>
        <v>3133.3333333333339</v>
      </c>
      <c r="L115" s="38">
        <f t="shared" ref="L115:L124" si="33">L114</f>
        <v>14450</v>
      </c>
      <c r="M115" s="55">
        <f>(0.75*(301)+0.25*(601))*(10/12)</f>
        <v>313.33333333333337</v>
      </c>
    </row>
    <row r="116" spans="2:13" ht="14.5" x14ac:dyDescent="0.35">
      <c r="B116" s="36" t="s">
        <v>102</v>
      </c>
      <c r="C116" s="36">
        <f t="shared" si="29"/>
        <v>10</v>
      </c>
      <c r="D116" s="38">
        <f t="shared" si="30"/>
        <v>2257.5</v>
      </c>
      <c r="E116" s="38">
        <f t="shared" si="32"/>
        <v>14450</v>
      </c>
      <c r="F116" s="45">
        <f>301*(9/12)</f>
        <v>225.75</v>
      </c>
      <c r="I116" s="36" t="s">
        <v>102</v>
      </c>
      <c r="J116" s="36">
        <f t="shared" si="31"/>
        <v>10</v>
      </c>
      <c r="K116" s="38">
        <f t="shared" si="28"/>
        <v>2820</v>
      </c>
      <c r="L116" s="38">
        <f t="shared" si="33"/>
        <v>14450</v>
      </c>
      <c r="M116" s="55">
        <f>(0.75*(301)+0.25*(601))*(9/12)</f>
        <v>282</v>
      </c>
    </row>
    <row r="117" spans="2:13" ht="14.5" x14ac:dyDescent="0.35">
      <c r="B117" s="36" t="s">
        <v>103</v>
      </c>
      <c r="C117" s="36">
        <f t="shared" si="29"/>
        <v>10</v>
      </c>
      <c r="D117" s="38">
        <f t="shared" si="30"/>
        <v>2006.6666666666665</v>
      </c>
      <c r="E117" s="38">
        <f t="shared" si="32"/>
        <v>14450</v>
      </c>
      <c r="F117" s="45">
        <f>301*(8/12)</f>
        <v>200.66666666666666</v>
      </c>
      <c r="I117" s="36" t="s">
        <v>103</v>
      </c>
      <c r="J117" s="36">
        <f t="shared" si="31"/>
        <v>10</v>
      </c>
      <c r="K117" s="38">
        <f t="shared" si="28"/>
        <v>2506.6666666666665</v>
      </c>
      <c r="L117" s="38">
        <f t="shared" si="33"/>
        <v>14450</v>
      </c>
      <c r="M117" s="55">
        <f>(0.75*(301)+0.25*(601))*(8/12)</f>
        <v>250.66666666666666</v>
      </c>
    </row>
    <row r="118" spans="2:13" ht="14.5" x14ac:dyDescent="0.35">
      <c r="B118" s="36" t="s">
        <v>104</v>
      </c>
      <c r="C118" s="36">
        <f t="shared" si="29"/>
        <v>10</v>
      </c>
      <c r="D118" s="38">
        <f t="shared" si="30"/>
        <v>1755.8333333333335</v>
      </c>
      <c r="E118" s="38">
        <f>E117</f>
        <v>14450</v>
      </c>
      <c r="F118" s="45">
        <f>301*(7/12)</f>
        <v>175.58333333333334</v>
      </c>
      <c r="I118" s="36" t="s">
        <v>104</v>
      </c>
      <c r="J118" s="36">
        <f t="shared" si="31"/>
        <v>10</v>
      </c>
      <c r="K118" s="38">
        <f t="shared" si="28"/>
        <v>3465</v>
      </c>
      <c r="L118" s="38">
        <f t="shared" si="33"/>
        <v>14450</v>
      </c>
      <c r="M118" s="55">
        <f>(0.75*(601)+0.25*(573))*(7/12)</f>
        <v>346.5</v>
      </c>
    </row>
    <row r="119" spans="2:13" ht="14.5" x14ac:dyDescent="0.35">
      <c r="B119" s="36" t="s">
        <v>105</v>
      </c>
      <c r="C119" s="36">
        <f t="shared" si="29"/>
        <v>10</v>
      </c>
      <c r="D119" s="38">
        <f t="shared" si="30"/>
        <v>1505</v>
      </c>
      <c r="E119" s="38">
        <f t="shared" si="32"/>
        <v>14450</v>
      </c>
      <c r="F119" s="45">
        <f>301*(6/12)</f>
        <v>150.5</v>
      </c>
      <c r="I119" s="36" t="s">
        <v>105</v>
      </c>
      <c r="J119" s="36">
        <f t="shared" si="31"/>
        <v>10</v>
      </c>
      <c r="K119" s="38">
        <f t="shared" si="28"/>
        <v>1827.5</v>
      </c>
      <c r="L119" s="38">
        <f t="shared" si="33"/>
        <v>14450</v>
      </c>
      <c r="M119" s="55">
        <f>(0.75*(287)+0.25*(601))*(6/12)</f>
        <v>182.75</v>
      </c>
    </row>
    <row r="120" spans="2:13" ht="14.5" x14ac:dyDescent="0.35">
      <c r="B120" s="36" t="s">
        <v>106</v>
      </c>
      <c r="C120" s="36">
        <f t="shared" si="29"/>
        <v>10</v>
      </c>
      <c r="D120" s="38">
        <f t="shared" si="30"/>
        <v>1254.1666666666667</v>
      </c>
      <c r="E120" s="38">
        <f t="shared" si="32"/>
        <v>14450</v>
      </c>
      <c r="F120" s="45">
        <f>301*(5/12)</f>
        <v>125.41666666666667</v>
      </c>
      <c r="I120" s="36" t="s">
        <v>106</v>
      </c>
      <c r="J120" s="36">
        <f t="shared" si="31"/>
        <v>10</v>
      </c>
      <c r="K120" s="38">
        <f t="shared" si="28"/>
        <v>1566.666666666667</v>
      </c>
      <c r="L120" s="38">
        <f t="shared" si="33"/>
        <v>14450</v>
      </c>
      <c r="M120" s="55">
        <f>(0.75*(301)+0.25*(601))*(5/12)</f>
        <v>156.66666666666669</v>
      </c>
    </row>
    <row r="121" spans="2:13" ht="14.5" x14ac:dyDescent="0.35">
      <c r="B121" s="36" t="s">
        <v>107</v>
      </c>
      <c r="C121" s="36">
        <f t="shared" si="29"/>
        <v>10</v>
      </c>
      <c r="D121" s="38">
        <f t="shared" si="30"/>
        <v>1003.3333333333333</v>
      </c>
      <c r="E121" s="38">
        <f t="shared" si="32"/>
        <v>14450</v>
      </c>
      <c r="F121" s="45">
        <f>301*(4/12)</f>
        <v>100.33333333333333</v>
      </c>
      <c r="I121" s="36" t="s">
        <v>107</v>
      </c>
      <c r="J121" s="36">
        <f t="shared" si="31"/>
        <v>10</v>
      </c>
      <c r="K121" s="38">
        <f t="shared" si="28"/>
        <v>1253.3333333333333</v>
      </c>
      <c r="L121" s="38">
        <f t="shared" si="33"/>
        <v>14450</v>
      </c>
      <c r="M121" s="55">
        <f>(0.75*(301)+0.25*(601))*(4/12)</f>
        <v>125.33333333333333</v>
      </c>
    </row>
    <row r="122" spans="2:13" ht="14.5" x14ac:dyDescent="0.35">
      <c r="B122" s="36" t="s">
        <v>108</v>
      </c>
      <c r="C122" s="36">
        <f t="shared" si="29"/>
        <v>10</v>
      </c>
      <c r="D122" s="38">
        <f t="shared" si="30"/>
        <v>752.5</v>
      </c>
      <c r="E122" s="38">
        <f t="shared" si="32"/>
        <v>14450</v>
      </c>
      <c r="F122" s="45">
        <f>301*(3/12)</f>
        <v>75.25</v>
      </c>
      <c r="I122" s="36" t="s">
        <v>108</v>
      </c>
      <c r="J122" s="36">
        <f t="shared" si="31"/>
        <v>10</v>
      </c>
      <c r="K122" s="38">
        <f t="shared" si="28"/>
        <v>940</v>
      </c>
      <c r="L122" s="38">
        <f t="shared" si="33"/>
        <v>14450</v>
      </c>
      <c r="M122" s="55">
        <f>(0.75*(301)+0.25*(601))*(3/12)</f>
        <v>94</v>
      </c>
    </row>
    <row r="123" spans="2:13" ht="14.5" x14ac:dyDescent="0.35">
      <c r="B123" s="36" t="s">
        <v>109</v>
      </c>
      <c r="C123" s="36">
        <f t="shared" si="29"/>
        <v>10</v>
      </c>
      <c r="D123" s="38">
        <f t="shared" si="30"/>
        <v>501.66666666666663</v>
      </c>
      <c r="E123" s="38">
        <f t="shared" si="32"/>
        <v>14450</v>
      </c>
      <c r="F123" s="45">
        <f>301*(2/12)</f>
        <v>50.166666666666664</v>
      </c>
      <c r="I123" s="36" t="s">
        <v>109</v>
      </c>
      <c r="J123" s="36">
        <f t="shared" si="31"/>
        <v>10</v>
      </c>
      <c r="K123" s="38">
        <f t="shared" si="28"/>
        <v>626.66666666666663</v>
      </c>
      <c r="L123" s="38">
        <f t="shared" si="33"/>
        <v>14450</v>
      </c>
      <c r="M123" s="55">
        <f>(0.75*(301)+0.25*(601))*(2/12)</f>
        <v>62.666666666666664</v>
      </c>
    </row>
    <row r="124" spans="2:13" ht="14.5" x14ac:dyDescent="0.35">
      <c r="B124" s="36" t="s">
        <v>110</v>
      </c>
      <c r="C124" s="36">
        <f t="shared" si="29"/>
        <v>10</v>
      </c>
      <c r="D124" s="38">
        <f t="shared" si="30"/>
        <v>250.83333333333331</v>
      </c>
      <c r="E124" s="38">
        <f t="shared" si="32"/>
        <v>14450</v>
      </c>
      <c r="F124" s="45">
        <f>301*(1/12)</f>
        <v>25.083333333333332</v>
      </c>
      <c r="I124" s="36" t="s">
        <v>110</v>
      </c>
      <c r="J124" s="36">
        <f t="shared" si="31"/>
        <v>10</v>
      </c>
      <c r="K124" s="38">
        <f t="shared" si="28"/>
        <v>313.33333333333331</v>
      </c>
      <c r="L124" s="38">
        <f t="shared" si="33"/>
        <v>14450</v>
      </c>
      <c r="M124" s="55">
        <f>(0.75*(301)+0.25*(601))*(1/12)</f>
        <v>31.333333333333332</v>
      </c>
    </row>
    <row r="125" spans="2:13" ht="13" x14ac:dyDescent="0.3">
      <c r="B125" s="37" t="s">
        <v>111</v>
      </c>
      <c r="C125" s="37">
        <f>SUM(C113:C124)</f>
        <v>170</v>
      </c>
      <c r="D125" s="39">
        <f>SUM(D113:D124)</f>
        <v>34615</v>
      </c>
      <c r="E125" s="39">
        <f>SUM(E113:E124)</f>
        <v>173400</v>
      </c>
      <c r="I125" s="37" t="s">
        <v>111</v>
      </c>
      <c r="J125" s="37">
        <f>SUM(J113:J124)</f>
        <v>170</v>
      </c>
      <c r="K125" s="39">
        <f>SUM(K113:K124)</f>
        <v>44459.166666666664</v>
      </c>
      <c r="L125" s="39">
        <f>SUM(L113:L124)</f>
        <v>173400</v>
      </c>
    </row>
    <row r="126" spans="2:13" ht="13" x14ac:dyDescent="0.3">
      <c r="B126" s="37" t="s">
        <v>112</v>
      </c>
      <c r="C126" s="37"/>
      <c r="D126" s="39">
        <f>D125+E125</f>
        <v>208015</v>
      </c>
      <c r="I126" s="37" t="s">
        <v>112</v>
      </c>
      <c r="J126" s="37"/>
      <c r="K126" s="39">
        <f>K125+L125</f>
        <v>217859.16666666666</v>
      </c>
    </row>
    <row r="129" spans="2:13" ht="15.5" x14ac:dyDescent="0.35">
      <c r="B129" s="77" t="s">
        <v>93</v>
      </c>
      <c r="C129" s="77"/>
      <c r="D129" s="77"/>
      <c r="I129" s="77" t="s">
        <v>94</v>
      </c>
      <c r="J129" s="77"/>
      <c r="K129" s="77"/>
    </row>
    <row r="130" spans="2:13" ht="13" x14ac:dyDescent="0.3">
      <c r="B130" s="78" t="s">
        <v>95</v>
      </c>
      <c r="C130" s="79"/>
      <c r="D130" s="80"/>
      <c r="E130" s="36"/>
      <c r="I130" s="78" t="s">
        <v>95</v>
      </c>
      <c r="J130" s="79"/>
      <c r="K130" s="80"/>
      <c r="L130" s="36"/>
    </row>
    <row r="131" spans="2:13" ht="13" x14ac:dyDescent="0.3">
      <c r="B131" s="78" t="s">
        <v>120</v>
      </c>
      <c r="C131" s="79"/>
      <c r="D131" s="80"/>
      <c r="E131" s="36"/>
      <c r="I131" s="78" t="s">
        <v>120</v>
      </c>
      <c r="J131" s="79"/>
      <c r="K131" s="80"/>
      <c r="L131" s="36"/>
    </row>
    <row r="132" spans="2:13" ht="13" x14ac:dyDescent="0.3">
      <c r="B132" s="36"/>
      <c r="C132" s="37" t="s">
        <v>97</v>
      </c>
      <c r="D132" s="37" t="s">
        <v>98</v>
      </c>
      <c r="E132" s="37" t="s">
        <v>114</v>
      </c>
      <c r="I132" s="36"/>
      <c r="J132" s="37" t="s">
        <v>97</v>
      </c>
      <c r="K132" s="37" t="s">
        <v>98</v>
      </c>
      <c r="L132" s="37" t="s">
        <v>115</v>
      </c>
    </row>
    <row r="133" spans="2:13" ht="14.5" x14ac:dyDescent="0.35">
      <c r="B133" s="36" t="s">
        <v>99</v>
      </c>
      <c r="C133" s="36">
        <f>C113</f>
        <v>60</v>
      </c>
      <c r="D133" s="38">
        <f>C133*F133</f>
        <v>18060</v>
      </c>
      <c r="E133" s="38">
        <f>(C25+C45+C65+C85+C105+C125)*0.85*20</f>
        <v>17340</v>
      </c>
      <c r="F133" s="45">
        <v>301</v>
      </c>
      <c r="I133" s="36" t="s">
        <v>99</v>
      </c>
      <c r="J133" s="36">
        <f>J113</f>
        <v>60</v>
      </c>
      <c r="K133" s="38">
        <f t="shared" ref="K133:K144" si="34">J133*M133</f>
        <v>22560</v>
      </c>
      <c r="L133" s="38">
        <f>(J25+J45+J65+J85+J105+J125)*0.85*20</f>
        <v>17340</v>
      </c>
      <c r="M133" s="55">
        <f>0.75*(301)+0.25*(601)</f>
        <v>376</v>
      </c>
    </row>
    <row r="134" spans="2:13" ht="14.5" x14ac:dyDescent="0.35">
      <c r="B134" s="36" t="s">
        <v>100</v>
      </c>
      <c r="C134" s="36">
        <f t="shared" ref="C134:C144" si="35">C114</f>
        <v>10</v>
      </c>
      <c r="D134" s="38">
        <f t="shared" ref="D134:D144" si="36">C134*F134</f>
        <v>2759.1666666666661</v>
      </c>
      <c r="E134" s="38">
        <f>E133</f>
        <v>17340</v>
      </c>
      <c r="F134" s="45">
        <f>301*(11/12)</f>
        <v>275.91666666666663</v>
      </c>
      <c r="I134" s="36" t="s">
        <v>100</v>
      </c>
      <c r="J134" s="36">
        <f t="shared" ref="J134:J144" si="37">J114</f>
        <v>10</v>
      </c>
      <c r="K134" s="38">
        <f t="shared" si="34"/>
        <v>3446.6666666666661</v>
      </c>
      <c r="L134" s="38">
        <f>L133</f>
        <v>17340</v>
      </c>
      <c r="M134" s="55">
        <f>(0.75*(301)+0.25*(601))*(11/12)</f>
        <v>344.66666666666663</v>
      </c>
    </row>
    <row r="135" spans="2:13" ht="14.5" x14ac:dyDescent="0.35">
      <c r="B135" s="36" t="s">
        <v>101</v>
      </c>
      <c r="C135" s="36">
        <f t="shared" si="35"/>
        <v>10</v>
      </c>
      <c r="D135" s="38">
        <f t="shared" si="36"/>
        <v>2508.3333333333335</v>
      </c>
      <c r="E135" s="38">
        <f t="shared" ref="E135:E144" si="38">E134</f>
        <v>17340</v>
      </c>
      <c r="F135" s="45">
        <f>301*(10/12)</f>
        <v>250.83333333333334</v>
      </c>
      <c r="I135" s="36" t="s">
        <v>101</v>
      </c>
      <c r="J135" s="36">
        <f t="shared" si="37"/>
        <v>10</v>
      </c>
      <c r="K135" s="38">
        <f t="shared" si="34"/>
        <v>3133.3333333333339</v>
      </c>
      <c r="L135" s="38">
        <f t="shared" ref="L135:L144" si="39">L134</f>
        <v>17340</v>
      </c>
      <c r="M135" s="55">
        <f>(0.75*(301)+0.25*(601))*(10/12)</f>
        <v>313.33333333333337</v>
      </c>
    </row>
    <row r="136" spans="2:13" ht="14.5" x14ac:dyDescent="0.35">
      <c r="B136" s="36" t="s">
        <v>102</v>
      </c>
      <c r="C136" s="36">
        <f t="shared" si="35"/>
        <v>10</v>
      </c>
      <c r="D136" s="38">
        <f t="shared" si="36"/>
        <v>2257.5</v>
      </c>
      <c r="E136" s="38">
        <f t="shared" si="38"/>
        <v>17340</v>
      </c>
      <c r="F136" s="45">
        <f>301*(9/12)</f>
        <v>225.75</v>
      </c>
      <c r="I136" s="36" t="s">
        <v>102</v>
      </c>
      <c r="J136" s="36">
        <f t="shared" si="37"/>
        <v>10</v>
      </c>
      <c r="K136" s="38">
        <f t="shared" si="34"/>
        <v>2820</v>
      </c>
      <c r="L136" s="38">
        <f t="shared" si="39"/>
        <v>17340</v>
      </c>
      <c r="M136" s="55">
        <f>(0.75*(301)+0.25*(601))*(9/12)</f>
        <v>282</v>
      </c>
    </row>
    <row r="137" spans="2:13" ht="14.5" x14ac:dyDescent="0.35">
      <c r="B137" s="36" t="s">
        <v>103</v>
      </c>
      <c r="C137" s="36">
        <f t="shared" si="35"/>
        <v>10</v>
      </c>
      <c r="D137" s="38">
        <f t="shared" si="36"/>
        <v>2006.6666666666665</v>
      </c>
      <c r="E137" s="38">
        <f t="shared" si="38"/>
        <v>17340</v>
      </c>
      <c r="F137" s="45">
        <f>301*(8/12)</f>
        <v>200.66666666666666</v>
      </c>
      <c r="I137" s="36" t="s">
        <v>103</v>
      </c>
      <c r="J137" s="36">
        <f t="shared" si="37"/>
        <v>10</v>
      </c>
      <c r="K137" s="38">
        <f t="shared" si="34"/>
        <v>2506.6666666666665</v>
      </c>
      <c r="L137" s="38">
        <f t="shared" si="39"/>
        <v>17340</v>
      </c>
      <c r="M137" s="55">
        <f>(0.75*(301)+0.25*(601))*(8/12)</f>
        <v>250.66666666666666</v>
      </c>
    </row>
    <row r="138" spans="2:13" ht="14.5" x14ac:dyDescent="0.35">
      <c r="B138" s="36" t="s">
        <v>104</v>
      </c>
      <c r="C138" s="36">
        <f t="shared" si="35"/>
        <v>10</v>
      </c>
      <c r="D138" s="38">
        <f t="shared" si="36"/>
        <v>1755.8333333333335</v>
      </c>
      <c r="E138" s="38">
        <f t="shared" si="38"/>
        <v>17340</v>
      </c>
      <c r="F138" s="45">
        <f>301*(7/12)</f>
        <v>175.58333333333334</v>
      </c>
      <c r="I138" s="36" t="s">
        <v>104</v>
      </c>
      <c r="J138" s="36">
        <f t="shared" si="37"/>
        <v>10</v>
      </c>
      <c r="K138" s="38">
        <f t="shared" si="34"/>
        <v>3465</v>
      </c>
      <c r="L138" s="38">
        <f t="shared" si="39"/>
        <v>17340</v>
      </c>
      <c r="M138" s="55">
        <f>(0.75*(601)+0.25*(573))*(7/12)</f>
        <v>346.5</v>
      </c>
    </row>
    <row r="139" spans="2:13" ht="14.5" x14ac:dyDescent="0.35">
      <c r="B139" s="36" t="s">
        <v>105</v>
      </c>
      <c r="C139" s="36">
        <f t="shared" si="35"/>
        <v>10</v>
      </c>
      <c r="D139" s="38">
        <f t="shared" si="36"/>
        <v>1505</v>
      </c>
      <c r="E139" s="38">
        <f t="shared" si="38"/>
        <v>17340</v>
      </c>
      <c r="F139" s="45">
        <f>301*(6/12)</f>
        <v>150.5</v>
      </c>
      <c r="I139" s="36" t="s">
        <v>105</v>
      </c>
      <c r="J139" s="36">
        <f t="shared" si="37"/>
        <v>10</v>
      </c>
      <c r="K139" s="38">
        <f t="shared" si="34"/>
        <v>1827.5</v>
      </c>
      <c r="L139" s="38">
        <f t="shared" si="39"/>
        <v>17340</v>
      </c>
      <c r="M139" s="55">
        <f>(0.75*(287)+0.25*(601))*(6/12)</f>
        <v>182.75</v>
      </c>
    </row>
    <row r="140" spans="2:13" ht="14.5" x14ac:dyDescent="0.35">
      <c r="B140" s="36" t="s">
        <v>106</v>
      </c>
      <c r="C140" s="36">
        <f t="shared" si="35"/>
        <v>10</v>
      </c>
      <c r="D140" s="38">
        <f t="shared" si="36"/>
        <v>1254.1666666666667</v>
      </c>
      <c r="E140" s="38">
        <f t="shared" si="38"/>
        <v>17340</v>
      </c>
      <c r="F140" s="45">
        <f>301*(5/12)</f>
        <v>125.41666666666667</v>
      </c>
      <c r="I140" s="36" t="s">
        <v>106</v>
      </c>
      <c r="J140" s="36">
        <f t="shared" si="37"/>
        <v>10</v>
      </c>
      <c r="K140" s="38">
        <f t="shared" si="34"/>
        <v>1566.666666666667</v>
      </c>
      <c r="L140" s="38">
        <f t="shared" si="39"/>
        <v>17340</v>
      </c>
      <c r="M140" s="55">
        <f>(0.75*(301)+0.25*(601))*(5/12)</f>
        <v>156.66666666666669</v>
      </c>
    </row>
    <row r="141" spans="2:13" ht="14.5" x14ac:dyDescent="0.35">
      <c r="B141" s="36" t="s">
        <v>107</v>
      </c>
      <c r="C141" s="36">
        <f t="shared" si="35"/>
        <v>10</v>
      </c>
      <c r="D141" s="38">
        <f t="shared" si="36"/>
        <v>1003.3333333333333</v>
      </c>
      <c r="E141" s="38">
        <f t="shared" si="38"/>
        <v>17340</v>
      </c>
      <c r="F141" s="45">
        <f>301*(4/12)</f>
        <v>100.33333333333333</v>
      </c>
      <c r="I141" s="36" t="s">
        <v>107</v>
      </c>
      <c r="J141" s="36">
        <f t="shared" si="37"/>
        <v>10</v>
      </c>
      <c r="K141" s="38">
        <f t="shared" si="34"/>
        <v>1253.3333333333333</v>
      </c>
      <c r="L141" s="38">
        <f t="shared" si="39"/>
        <v>17340</v>
      </c>
      <c r="M141" s="55">
        <f>(0.75*(301)+0.25*(601))*(4/12)</f>
        <v>125.33333333333333</v>
      </c>
    </row>
    <row r="142" spans="2:13" ht="14.5" x14ac:dyDescent="0.35">
      <c r="B142" s="36" t="s">
        <v>108</v>
      </c>
      <c r="C142" s="36">
        <f t="shared" si="35"/>
        <v>10</v>
      </c>
      <c r="D142" s="38">
        <f t="shared" si="36"/>
        <v>752.5</v>
      </c>
      <c r="E142" s="38">
        <f t="shared" si="38"/>
        <v>17340</v>
      </c>
      <c r="F142" s="45">
        <f>301*(3/12)</f>
        <v>75.25</v>
      </c>
      <c r="I142" s="36" t="s">
        <v>108</v>
      </c>
      <c r="J142" s="36">
        <f t="shared" si="37"/>
        <v>10</v>
      </c>
      <c r="K142" s="38">
        <f t="shared" si="34"/>
        <v>940</v>
      </c>
      <c r="L142" s="38">
        <f t="shared" si="39"/>
        <v>17340</v>
      </c>
      <c r="M142" s="55">
        <f>(0.75*(301)+0.25*(601))*(3/12)</f>
        <v>94</v>
      </c>
    </row>
    <row r="143" spans="2:13" ht="14.5" x14ac:dyDescent="0.35">
      <c r="B143" s="36" t="s">
        <v>109</v>
      </c>
      <c r="C143" s="36">
        <f t="shared" si="35"/>
        <v>10</v>
      </c>
      <c r="D143" s="38">
        <f t="shared" si="36"/>
        <v>501.66666666666663</v>
      </c>
      <c r="E143" s="38">
        <f t="shared" si="38"/>
        <v>17340</v>
      </c>
      <c r="F143" s="45">
        <f>301*(2/12)</f>
        <v>50.166666666666664</v>
      </c>
      <c r="I143" s="36" t="s">
        <v>109</v>
      </c>
      <c r="J143" s="36">
        <f t="shared" si="37"/>
        <v>10</v>
      </c>
      <c r="K143" s="38">
        <f t="shared" si="34"/>
        <v>626.66666666666663</v>
      </c>
      <c r="L143" s="38">
        <f t="shared" si="39"/>
        <v>17340</v>
      </c>
      <c r="M143" s="55">
        <f>(0.75*(301)+0.25*(601))*(2/12)</f>
        <v>62.666666666666664</v>
      </c>
    </row>
    <row r="144" spans="2:13" ht="14.5" x14ac:dyDescent="0.35">
      <c r="B144" s="36" t="s">
        <v>110</v>
      </c>
      <c r="C144" s="36">
        <f t="shared" si="35"/>
        <v>10</v>
      </c>
      <c r="D144" s="38">
        <f t="shared" si="36"/>
        <v>250.83333333333331</v>
      </c>
      <c r="E144" s="38">
        <f t="shared" si="38"/>
        <v>17340</v>
      </c>
      <c r="F144" s="45">
        <f>301*(1/12)</f>
        <v>25.083333333333332</v>
      </c>
      <c r="I144" s="36" t="s">
        <v>110</v>
      </c>
      <c r="J144" s="36">
        <f t="shared" si="37"/>
        <v>10</v>
      </c>
      <c r="K144" s="38">
        <f t="shared" si="34"/>
        <v>313.33333333333331</v>
      </c>
      <c r="L144" s="38">
        <f t="shared" si="39"/>
        <v>17340</v>
      </c>
      <c r="M144" s="55">
        <f>(0.75*(301)+0.25*(601))*(1/12)</f>
        <v>31.333333333333332</v>
      </c>
    </row>
    <row r="145" spans="2:13" ht="13" x14ac:dyDescent="0.3">
      <c r="B145" s="37" t="s">
        <v>111</v>
      </c>
      <c r="C145" s="37">
        <f>SUM(C133:C144)</f>
        <v>170</v>
      </c>
      <c r="D145" s="39">
        <f>SUM(D133:D144)</f>
        <v>34615</v>
      </c>
      <c r="E145" s="39">
        <f>SUM(E133:E144)</f>
        <v>208080</v>
      </c>
      <c r="I145" s="37" t="s">
        <v>111</v>
      </c>
      <c r="J145" s="37">
        <f>SUM(J133:J144)</f>
        <v>170</v>
      </c>
      <c r="K145" s="39">
        <f>SUM(K133:K144)</f>
        <v>44459.166666666664</v>
      </c>
      <c r="L145" s="39">
        <f>SUM(L133:L144)</f>
        <v>208080</v>
      </c>
    </row>
    <row r="146" spans="2:13" ht="13" x14ac:dyDescent="0.3">
      <c r="B146" s="37" t="s">
        <v>112</v>
      </c>
      <c r="C146" s="37"/>
      <c r="D146" s="39">
        <f>D145+E145</f>
        <v>242695</v>
      </c>
      <c r="I146" s="37" t="s">
        <v>112</v>
      </c>
      <c r="J146" s="37"/>
      <c r="K146" s="39">
        <f>K145+L145</f>
        <v>252539.16666666666</v>
      </c>
    </row>
    <row r="149" spans="2:13" ht="15.5" x14ac:dyDescent="0.35">
      <c r="B149" s="77" t="s">
        <v>93</v>
      </c>
      <c r="C149" s="77"/>
      <c r="D149" s="77"/>
      <c r="I149" s="77" t="s">
        <v>94</v>
      </c>
      <c r="J149" s="77"/>
      <c r="K149" s="77"/>
    </row>
    <row r="150" spans="2:13" ht="13" x14ac:dyDescent="0.3">
      <c r="B150" s="78" t="s">
        <v>95</v>
      </c>
      <c r="C150" s="79"/>
      <c r="D150" s="80"/>
      <c r="E150" s="36"/>
      <c r="I150" s="78" t="s">
        <v>95</v>
      </c>
      <c r="J150" s="79"/>
      <c r="K150" s="80"/>
      <c r="L150" s="36"/>
    </row>
    <row r="151" spans="2:13" ht="13" x14ac:dyDescent="0.3">
      <c r="B151" s="78" t="s">
        <v>121</v>
      </c>
      <c r="C151" s="79"/>
      <c r="D151" s="80"/>
      <c r="E151" s="36"/>
      <c r="I151" s="78" t="s">
        <v>121</v>
      </c>
      <c r="J151" s="79"/>
      <c r="K151" s="80"/>
      <c r="L151" s="36"/>
    </row>
    <row r="152" spans="2:13" ht="13" x14ac:dyDescent="0.3">
      <c r="B152" s="36"/>
      <c r="C152" s="37" t="s">
        <v>97</v>
      </c>
      <c r="D152" s="37" t="s">
        <v>98</v>
      </c>
      <c r="E152" s="37" t="s">
        <v>114</v>
      </c>
      <c r="I152" s="36"/>
      <c r="J152" s="37" t="s">
        <v>97</v>
      </c>
      <c r="K152" s="37" t="s">
        <v>98</v>
      </c>
      <c r="L152" s="37" t="s">
        <v>115</v>
      </c>
    </row>
    <row r="153" spans="2:13" ht="14.5" x14ac:dyDescent="0.35">
      <c r="B153" s="36" t="s">
        <v>99</v>
      </c>
      <c r="C153" s="36">
        <f>C133</f>
        <v>60</v>
      </c>
      <c r="D153" s="38">
        <f>C153*F153</f>
        <v>18060</v>
      </c>
      <c r="E153" s="38">
        <f>(C25+C45+C65+C85+C105+C125+C145)*0.85*20</f>
        <v>20230</v>
      </c>
      <c r="F153" s="45">
        <v>301</v>
      </c>
      <c r="I153" s="36" t="s">
        <v>99</v>
      </c>
      <c r="J153" s="36">
        <f>J133</f>
        <v>60</v>
      </c>
      <c r="K153" s="38">
        <f t="shared" ref="K153:K164" si="40">J153*M153</f>
        <v>22560</v>
      </c>
      <c r="L153" s="38">
        <f>(J25+J45+J65+J85+J105+J125+J145)*0.85*20</f>
        <v>20230</v>
      </c>
      <c r="M153" s="55">
        <f>0.75*(301)+0.25*(601)</f>
        <v>376</v>
      </c>
    </row>
    <row r="154" spans="2:13" ht="14.5" x14ac:dyDescent="0.35">
      <c r="B154" s="36" t="s">
        <v>100</v>
      </c>
      <c r="C154" s="36">
        <f t="shared" ref="C154:C164" si="41">C134</f>
        <v>10</v>
      </c>
      <c r="D154" s="38">
        <f t="shared" ref="D154:D164" si="42">C154*F154</f>
        <v>2759.1666666666661</v>
      </c>
      <c r="E154" s="38">
        <f>E153</f>
        <v>20230</v>
      </c>
      <c r="F154" s="45">
        <f>301*(11/12)</f>
        <v>275.91666666666663</v>
      </c>
      <c r="I154" s="36" t="s">
        <v>100</v>
      </c>
      <c r="J154" s="36">
        <f t="shared" ref="J154:J164" si="43">J134</f>
        <v>10</v>
      </c>
      <c r="K154" s="38">
        <f t="shared" si="40"/>
        <v>3446.6666666666661</v>
      </c>
      <c r="L154" s="38">
        <f>L153</f>
        <v>20230</v>
      </c>
      <c r="M154" s="55">
        <f>(0.75*(301)+0.25*(601))*(11/12)</f>
        <v>344.66666666666663</v>
      </c>
    </row>
    <row r="155" spans="2:13" ht="14.5" x14ac:dyDescent="0.35">
      <c r="B155" s="36" t="s">
        <v>101</v>
      </c>
      <c r="C155" s="36">
        <f t="shared" si="41"/>
        <v>10</v>
      </c>
      <c r="D155" s="38">
        <f t="shared" si="42"/>
        <v>2508.3333333333335</v>
      </c>
      <c r="E155" s="38">
        <f t="shared" ref="E155:E164" si="44">E154</f>
        <v>20230</v>
      </c>
      <c r="F155" s="45">
        <f>301*(10/12)</f>
        <v>250.83333333333334</v>
      </c>
      <c r="I155" s="36" t="s">
        <v>101</v>
      </c>
      <c r="J155" s="36">
        <f t="shared" si="43"/>
        <v>10</v>
      </c>
      <c r="K155" s="38">
        <f t="shared" si="40"/>
        <v>3133.3333333333339</v>
      </c>
      <c r="L155" s="38">
        <f t="shared" ref="L155:L164" si="45">L154</f>
        <v>20230</v>
      </c>
      <c r="M155" s="55">
        <f>(0.75*(301)+0.25*(601))*(10/12)</f>
        <v>313.33333333333337</v>
      </c>
    </row>
    <row r="156" spans="2:13" ht="14.5" x14ac:dyDescent="0.35">
      <c r="B156" s="36" t="s">
        <v>102</v>
      </c>
      <c r="C156" s="36">
        <f t="shared" si="41"/>
        <v>10</v>
      </c>
      <c r="D156" s="38">
        <f t="shared" si="42"/>
        <v>2257.5</v>
      </c>
      <c r="E156" s="38">
        <f t="shared" si="44"/>
        <v>20230</v>
      </c>
      <c r="F156" s="45">
        <f>301*(9/12)</f>
        <v>225.75</v>
      </c>
      <c r="I156" s="36" t="s">
        <v>102</v>
      </c>
      <c r="J156" s="36">
        <f t="shared" si="43"/>
        <v>10</v>
      </c>
      <c r="K156" s="38">
        <f t="shared" si="40"/>
        <v>2820</v>
      </c>
      <c r="L156" s="38">
        <f t="shared" si="45"/>
        <v>20230</v>
      </c>
      <c r="M156" s="55">
        <f>(0.75*(301)+0.25*(601))*(9/12)</f>
        <v>282</v>
      </c>
    </row>
    <row r="157" spans="2:13" ht="14.5" x14ac:dyDescent="0.35">
      <c r="B157" s="36" t="s">
        <v>103</v>
      </c>
      <c r="C157" s="36">
        <f t="shared" si="41"/>
        <v>10</v>
      </c>
      <c r="D157" s="38">
        <f t="shared" si="42"/>
        <v>2006.6666666666665</v>
      </c>
      <c r="E157" s="38">
        <f t="shared" si="44"/>
        <v>20230</v>
      </c>
      <c r="F157" s="45">
        <f>301*(8/12)</f>
        <v>200.66666666666666</v>
      </c>
      <c r="I157" s="36" t="s">
        <v>103</v>
      </c>
      <c r="J157" s="36">
        <f t="shared" si="43"/>
        <v>10</v>
      </c>
      <c r="K157" s="38">
        <f t="shared" si="40"/>
        <v>2506.6666666666665</v>
      </c>
      <c r="L157" s="38">
        <f t="shared" si="45"/>
        <v>20230</v>
      </c>
      <c r="M157" s="55">
        <f>(0.75*(301)+0.25*(601))*(8/12)</f>
        <v>250.66666666666666</v>
      </c>
    </row>
    <row r="158" spans="2:13" ht="14.5" x14ac:dyDescent="0.35">
      <c r="B158" s="36" t="s">
        <v>104</v>
      </c>
      <c r="C158" s="36">
        <f t="shared" si="41"/>
        <v>10</v>
      </c>
      <c r="D158" s="38">
        <f t="shared" si="42"/>
        <v>1755.8333333333335</v>
      </c>
      <c r="E158" s="38">
        <f t="shared" si="44"/>
        <v>20230</v>
      </c>
      <c r="F158" s="45">
        <f>301*(7/12)</f>
        <v>175.58333333333334</v>
      </c>
      <c r="I158" s="36" t="s">
        <v>104</v>
      </c>
      <c r="J158" s="36">
        <f t="shared" si="43"/>
        <v>10</v>
      </c>
      <c r="K158" s="38">
        <f t="shared" si="40"/>
        <v>3465</v>
      </c>
      <c r="L158" s="38">
        <f t="shared" si="45"/>
        <v>20230</v>
      </c>
      <c r="M158" s="55">
        <f>(0.75*(601)+0.25*(573))*(7/12)</f>
        <v>346.5</v>
      </c>
    </row>
    <row r="159" spans="2:13" ht="14.5" x14ac:dyDescent="0.35">
      <c r="B159" s="36" t="s">
        <v>105</v>
      </c>
      <c r="C159" s="36">
        <f t="shared" si="41"/>
        <v>10</v>
      </c>
      <c r="D159" s="38">
        <f t="shared" si="42"/>
        <v>1505</v>
      </c>
      <c r="E159" s="38">
        <f t="shared" si="44"/>
        <v>20230</v>
      </c>
      <c r="F159" s="45">
        <f>301*(6/12)</f>
        <v>150.5</v>
      </c>
      <c r="I159" s="36" t="s">
        <v>105</v>
      </c>
      <c r="J159" s="36">
        <f t="shared" si="43"/>
        <v>10</v>
      </c>
      <c r="K159" s="38">
        <f t="shared" si="40"/>
        <v>1827.5</v>
      </c>
      <c r="L159" s="38">
        <f t="shared" si="45"/>
        <v>20230</v>
      </c>
      <c r="M159" s="55">
        <f>(0.75*(287)+0.25*(601))*(6/12)</f>
        <v>182.75</v>
      </c>
    </row>
    <row r="160" spans="2:13" ht="14.5" x14ac:dyDescent="0.35">
      <c r="B160" s="36" t="s">
        <v>106</v>
      </c>
      <c r="C160" s="36">
        <f t="shared" si="41"/>
        <v>10</v>
      </c>
      <c r="D160" s="38">
        <f t="shared" si="42"/>
        <v>1254.1666666666667</v>
      </c>
      <c r="E160" s="38">
        <f t="shared" si="44"/>
        <v>20230</v>
      </c>
      <c r="F160" s="45">
        <f>301*(5/12)</f>
        <v>125.41666666666667</v>
      </c>
      <c r="I160" s="36" t="s">
        <v>106</v>
      </c>
      <c r="J160" s="36">
        <f t="shared" si="43"/>
        <v>10</v>
      </c>
      <c r="K160" s="38">
        <f t="shared" si="40"/>
        <v>1566.666666666667</v>
      </c>
      <c r="L160" s="38">
        <f t="shared" si="45"/>
        <v>20230</v>
      </c>
      <c r="M160" s="55">
        <f>(0.75*(301)+0.25*(601))*(5/12)</f>
        <v>156.66666666666669</v>
      </c>
    </row>
    <row r="161" spans="2:13" ht="14.5" x14ac:dyDescent="0.35">
      <c r="B161" s="36" t="s">
        <v>107</v>
      </c>
      <c r="C161" s="36">
        <f t="shared" si="41"/>
        <v>10</v>
      </c>
      <c r="D161" s="38">
        <f t="shared" si="42"/>
        <v>1003.3333333333333</v>
      </c>
      <c r="E161" s="38">
        <f t="shared" si="44"/>
        <v>20230</v>
      </c>
      <c r="F161" s="45">
        <f>301*(4/12)</f>
        <v>100.33333333333333</v>
      </c>
      <c r="I161" s="36" t="s">
        <v>107</v>
      </c>
      <c r="J161" s="36">
        <f t="shared" si="43"/>
        <v>10</v>
      </c>
      <c r="K161" s="38">
        <f t="shared" si="40"/>
        <v>1253.3333333333333</v>
      </c>
      <c r="L161" s="38">
        <f t="shared" si="45"/>
        <v>20230</v>
      </c>
      <c r="M161" s="55">
        <f>(0.75*(301)+0.25*(601))*(4/12)</f>
        <v>125.33333333333333</v>
      </c>
    </row>
    <row r="162" spans="2:13" ht="14.5" x14ac:dyDescent="0.35">
      <c r="B162" s="36" t="s">
        <v>108</v>
      </c>
      <c r="C162" s="36">
        <f t="shared" si="41"/>
        <v>10</v>
      </c>
      <c r="D162" s="38">
        <f t="shared" si="42"/>
        <v>752.5</v>
      </c>
      <c r="E162" s="38">
        <f t="shared" si="44"/>
        <v>20230</v>
      </c>
      <c r="F162" s="45">
        <f>301*(3/12)</f>
        <v>75.25</v>
      </c>
      <c r="I162" s="36" t="s">
        <v>108</v>
      </c>
      <c r="J162" s="36">
        <f t="shared" si="43"/>
        <v>10</v>
      </c>
      <c r="K162" s="38">
        <f t="shared" si="40"/>
        <v>940</v>
      </c>
      <c r="L162" s="38">
        <f t="shared" si="45"/>
        <v>20230</v>
      </c>
      <c r="M162" s="55">
        <f>(0.75*(301)+0.25*(601))*(3/12)</f>
        <v>94</v>
      </c>
    </row>
    <row r="163" spans="2:13" ht="14.5" x14ac:dyDescent="0.35">
      <c r="B163" s="36" t="s">
        <v>109</v>
      </c>
      <c r="C163" s="36">
        <f t="shared" si="41"/>
        <v>10</v>
      </c>
      <c r="D163" s="38">
        <f t="shared" si="42"/>
        <v>501.66666666666663</v>
      </c>
      <c r="E163" s="38">
        <f t="shared" si="44"/>
        <v>20230</v>
      </c>
      <c r="F163" s="45">
        <f>301*(2/12)</f>
        <v>50.166666666666664</v>
      </c>
      <c r="I163" s="36" t="s">
        <v>109</v>
      </c>
      <c r="J163" s="36">
        <f t="shared" si="43"/>
        <v>10</v>
      </c>
      <c r="K163" s="38">
        <f t="shared" si="40"/>
        <v>626.66666666666663</v>
      </c>
      <c r="L163" s="38">
        <f t="shared" si="45"/>
        <v>20230</v>
      </c>
      <c r="M163" s="55">
        <f>(0.75*(301)+0.25*(601))*(2/12)</f>
        <v>62.666666666666664</v>
      </c>
    </row>
    <row r="164" spans="2:13" ht="14.5" x14ac:dyDescent="0.35">
      <c r="B164" s="36" t="s">
        <v>110</v>
      </c>
      <c r="C164" s="36">
        <f t="shared" si="41"/>
        <v>10</v>
      </c>
      <c r="D164" s="38">
        <f t="shared" si="42"/>
        <v>250.83333333333331</v>
      </c>
      <c r="E164" s="38">
        <f t="shared" si="44"/>
        <v>20230</v>
      </c>
      <c r="F164" s="45">
        <f>301*(1/12)</f>
        <v>25.083333333333332</v>
      </c>
      <c r="I164" s="36" t="s">
        <v>110</v>
      </c>
      <c r="J164" s="36">
        <f t="shared" si="43"/>
        <v>10</v>
      </c>
      <c r="K164" s="38">
        <f t="shared" si="40"/>
        <v>313.33333333333331</v>
      </c>
      <c r="L164" s="38">
        <f t="shared" si="45"/>
        <v>20230</v>
      </c>
      <c r="M164" s="55">
        <f>(0.75*(301)+0.25*(601))*(1/12)</f>
        <v>31.333333333333332</v>
      </c>
    </row>
    <row r="165" spans="2:13" ht="13" x14ac:dyDescent="0.3">
      <c r="B165" s="37" t="s">
        <v>111</v>
      </c>
      <c r="C165" s="37">
        <f>SUM(C153:C164)</f>
        <v>170</v>
      </c>
      <c r="D165" s="39">
        <f>SUM(D153:D164)</f>
        <v>34615</v>
      </c>
      <c r="E165" s="39">
        <f>SUM(E153:E164)</f>
        <v>242760</v>
      </c>
      <c r="I165" s="37" t="s">
        <v>111</v>
      </c>
      <c r="J165" s="37">
        <f>SUM(J153:J164)</f>
        <v>170</v>
      </c>
      <c r="K165" s="39">
        <f>SUM(K153:K164)</f>
        <v>44459.166666666664</v>
      </c>
      <c r="L165" s="39">
        <f>SUM(L153:L164)</f>
        <v>242760</v>
      </c>
    </row>
    <row r="166" spans="2:13" ht="13" x14ac:dyDescent="0.3">
      <c r="B166" s="37" t="s">
        <v>112</v>
      </c>
      <c r="C166" s="37"/>
      <c r="D166" s="39">
        <f>D165+E165</f>
        <v>277375</v>
      </c>
      <c r="I166" s="37" t="s">
        <v>112</v>
      </c>
      <c r="J166" s="37"/>
      <c r="K166" s="39">
        <f>K165+L165</f>
        <v>287219.16666666669</v>
      </c>
    </row>
    <row r="169" spans="2:13" ht="15.5" x14ac:dyDescent="0.35">
      <c r="B169" s="77" t="s">
        <v>93</v>
      </c>
      <c r="C169" s="77"/>
      <c r="D169" s="77"/>
      <c r="I169" s="77" t="s">
        <v>94</v>
      </c>
      <c r="J169" s="77"/>
      <c r="K169" s="77"/>
    </row>
    <row r="170" spans="2:13" ht="13" x14ac:dyDescent="0.3">
      <c r="B170" s="78" t="s">
        <v>95</v>
      </c>
      <c r="C170" s="79"/>
      <c r="D170" s="80"/>
      <c r="E170" s="36"/>
      <c r="I170" s="78" t="s">
        <v>95</v>
      </c>
      <c r="J170" s="79"/>
      <c r="K170" s="80"/>
      <c r="L170" s="36"/>
    </row>
    <row r="171" spans="2:13" ht="13" x14ac:dyDescent="0.3">
      <c r="B171" s="78" t="s">
        <v>122</v>
      </c>
      <c r="C171" s="79"/>
      <c r="D171" s="80"/>
      <c r="E171" s="36"/>
      <c r="I171" s="78" t="s">
        <v>122</v>
      </c>
      <c r="J171" s="79"/>
      <c r="K171" s="80"/>
      <c r="L171" s="36"/>
    </row>
    <row r="172" spans="2:13" ht="13" x14ac:dyDescent="0.3">
      <c r="B172" s="36"/>
      <c r="C172" s="37" t="s">
        <v>97</v>
      </c>
      <c r="D172" s="37" t="s">
        <v>98</v>
      </c>
      <c r="E172" s="37" t="s">
        <v>115</v>
      </c>
      <c r="I172" s="36"/>
      <c r="J172" s="37" t="s">
        <v>97</v>
      </c>
      <c r="K172" s="37" t="s">
        <v>98</v>
      </c>
      <c r="L172" s="37" t="s">
        <v>115</v>
      </c>
    </row>
    <row r="173" spans="2:13" ht="14.5" x14ac:dyDescent="0.35">
      <c r="B173" s="36" t="s">
        <v>99</v>
      </c>
      <c r="C173" s="36">
        <f>C153</f>
        <v>60</v>
      </c>
      <c r="D173" s="38">
        <f>C173*F173</f>
        <v>18060</v>
      </c>
      <c r="E173" s="38">
        <f>(C25+C45+C65+C85+C105+C125+C145+C165)*0.85*20</f>
        <v>23120</v>
      </c>
      <c r="F173" s="45">
        <v>301</v>
      </c>
      <c r="I173" s="36" t="s">
        <v>99</v>
      </c>
      <c r="J173" s="36">
        <f>J153</f>
        <v>60</v>
      </c>
      <c r="K173" s="38">
        <f t="shared" ref="K173:K184" si="46">J173*M173</f>
        <v>22560</v>
      </c>
      <c r="L173" s="38">
        <f>(J25+J45+J65+J85+J105+J125+J145+J165)*0.85*20</f>
        <v>23120</v>
      </c>
      <c r="M173" s="55">
        <f>0.75*(301)+0.25*(601)</f>
        <v>376</v>
      </c>
    </row>
    <row r="174" spans="2:13" ht="14.5" x14ac:dyDescent="0.35">
      <c r="B174" s="36" t="s">
        <v>100</v>
      </c>
      <c r="C174" s="36">
        <f t="shared" ref="C174:C184" si="47">C154</f>
        <v>10</v>
      </c>
      <c r="D174" s="38">
        <f t="shared" ref="D174:D184" si="48">C174*F174</f>
        <v>2759.1666666666661</v>
      </c>
      <c r="E174" s="38">
        <f>E173</f>
        <v>23120</v>
      </c>
      <c r="F174" s="45">
        <f>301*(11/12)</f>
        <v>275.91666666666663</v>
      </c>
      <c r="I174" s="36" t="s">
        <v>100</v>
      </c>
      <c r="J174" s="36">
        <f t="shared" ref="J174:J184" si="49">J154</f>
        <v>10</v>
      </c>
      <c r="K174" s="38">
        <f t="shared" si="46"/>
        <v>3446.6666666666661</v>
      </c>
      <c r="L174" s="38">
        <f>L173</f>
        <v>23120</v>
      </c>
      <c r="M174" s="55">
        <f>(0.75*(301)+0.25*(601))*(11/12)</f>
        <v>344.66666666666663</v>
      </c>
    </row>
    <row r="175" spans="2:13" ht="14.5" x14ac:dyDescent="0.35">
      <c r="B175" s="36" t="s">
        <v>101</v>
      </c>
      <c r="C175" s="36">
        <f t="shared" si="47"/>
        <v>10</v>
      </c>
      <c r="D175" s="38">
        <f t="shared" si="48"/>
        <v>2508.3333333333335</v>
      </c>
      <c r="E175" s="38">
        <f t="shared" ref="E175:E184" si="50">E174</f>
        <v>23120</v>
      </c>
      <c r="F175" s="45">
        <f>301*(10/12)</f>
        <v>250.83333333333334</v>
      </c>
      <c r="I175" s="36" t="s">
        <v>101</v>
      </c>
      <c r="J175" s="36">
        <f t="shared" si="49"/>
        <v>10</v>
      </c>
      <c r="K175" s="38">
        <f t="shared" si="46"/>
        <v>3133.3333333333339</v>
      </c>
      <c r="L175" s="38">
        <f t="shared" ref="L175:L184" si="51">L174</f>
        <v>23120</v>
      </c>
      <c r="M175" s="55">
        <f>(0.75*(301)+0.25*(601))*(10/12)</f>
        <v>313.33333333333337</v>
      </c>
    </row>
    <row r="176" spans="2:13" ht="14.5" x14ac:dyDescent="0.35">
      <c r="B176" s="36" t="s">
        <v>102</v>
      </c>
      <c r="C176" s="36">
        <f t="shared" si="47"/>
        <v>10</v>
      </c>
      <c r="D176" s="38">
        <f t="shared" si="48"/>
        <v>2257.5</v>
      </c>
      <c r="E176" s="38">
        <f t="shared" si="50"/>
        <v>23120</v>
      </c>
      <c r="F176" s="45">
        <f>301*(9/12)</f>
        <v>225.75</v>
      </c>
      <c r="I176" s="36" t="s">
        <v>102</v>
      </c>
      <c r="J176" s="36">
        <f t="shared" si="49"/>
        <v>10</v>
      </c>
      <c r="K176" s="38">
        <f t="shared" si="46"/>
        <v>2820</v>
      </c>
      <c r="L176" s="38">
        <f t="shared" si="51"/>
        <v>23120</v>
      </c>
      <c r="M176" s="55">
        <f>(0.75*(301)+0.25*(601))*(9/12)</f>
        <v>282</v>
      </c>
    </row>
    <row r="177" spans="2:13" ht="14.5" x14ac:dyDescent="0.35">
      <c r="B177" s="36" t="s">
        <v>103</v>
      </c>
      <c r="C177" s="36">
        <f t="shared" si="47"/>
        <v>10</v>
      </c>
      <c r="D177" s="38">
        <f t="shared" si="48"/>
        <v>2006.6666666666665</v>
      </c>
      <c r="E177" s="38">
        <f t="shared" si="50"/>
        <v>23120</v>
      </c>
      <c r="F177" s="45">
        <f>301*(8/12)</f>
        <v>200.66666666666666</v>
      </c>
      <c r="I177" s="36" t="s">
        <v>103</v>
      </c>
      <c r="J177" s="36">
        <f t="shared" si="49"/>
        <v>10</v>
      </c>
      <c r="K177" s="38">
        <f t="shared" si="46"/>
        <v>2506.6666666666665</v>
      </c>
      <c r="L177" s="38">
        <f t="shared" si="51"/>
        <v>23120</v>
      </c>
      <c r="M177" s="55">
        <f>(0.75*(301)+0.25*(601))*(8/12)</f>
        <v>250.66666666666666</v>
      </c>
    </row>
    <row r="178" spans="2:13" ht="14.5" x14ac:dyDescent="0.35">
      <c r="B178" s="36" t="s">
        <v>104</v>
      </c>
      <c r="C178" s="36">
        <f t="shared" si="47"/>
        <v>10</v>
      </c>
      <c r="D178" s="38">
        <f t="shared" si="48"/>
        <v>1755.8333333333335</v>
      </c>
      <c r="E178" s="38">
        <f t="shared" si="50"/>
        <v>23120</v>
      </c>
      <c r="F178" s="45">
        <f>301*(7/12)</f>
        <v>175.58333333333334</v>
      </c>
      <c r="I178" s="36" t="s">
        <v>104</v>
      </c>
      <c r="J178" s="36">
        <f t="shared" si="49"/>
        <v>10</v>
      </c>
      <c r="K178" s="38">
        <f t="shared" si="46"/>
        <v>3465</v>
      </c>
      <c r="L178" s="38">
        <f t="shared" si="51"/>
        <v>23120</v>
      </c>
      <c r="M178" s="55">
        <f>(0.75*(601)+0.25*(573))*(7/12)</f>
        <v>346.5</v>
      </c>
    </row>
    <row r="179" spans="2:13" ht="14.5" x14ac:dyDescent="0.35">
      <c r="B179" s="36" t="s">
        <v>105</v>
      </c>
      <c r="C179" s="36">
        <f t="shared" si="47"/>
        <v>10</v>
      </c>
      <c r="D179" s="38">
        <f t="shared" si="48"/>
        <v>1505</v>
      </c>
      <c r="E179" s="38">
        <f t="shared" si="50"/>
        <v>23120</v>
      </c>
      <c r="F179" s="45">
        <f>301*(6/12)</f>
        <v>150.5</v>
      </c>
      <c r="I179" s="36" t="s">
        <v>105</v>
      </c>
      <c r="J179" s="36">
        <f t="shared" si="49"/>
        <v>10</v>
      </c>
      <c r="K179" s="38">
        <f t="shared" si="46"/>
        <v>1827.5</v>
      </c>
      <c r="L179" s="38">
        <f t="shared" si="51"/>
        <v>23120</v>
      </c>
      <c r="M179" s="55">
        <f>(0.75*(287)+0.25*(601))*(6/12)</f>
        <v>182.75</v>
      </c>
    </row>
    <row r="180" spans="2:13" ht="14.5" x14ac:dyDescent="0.35">
      <c r="B180" s="36" t="s">
        <v>106</v>
      </c>
      <c r="C180" s="36">
        <f t="shared" si="47"/>
        <v>10</v>
      </c>
      <c r="D180" s="38">
        <f t="shared" si="48"/>
        <v>1254.1666666666667</v>
      </c>
      <c r="E180" s="38">
        <f t="shared" si="50"/>
        <v>23120</v>
      </c>
      <c r="F180" s="45">
        <f>301*(5/12)</f>
        <v>125.41666666666667</v>
      </c>
      <c r="I180" s="36" t="s">
        <v>106</v>
      </c>
      <c r="J180" s="36">
        <f t="shared" si="49"/>
        <v>10</v>
      </c>
      <c r="K180" s="38">
        <f t="shared" si="46"/>
        <v>1566.666666666667</v>
      </c>
      <c r="L180" s="38">
        <f t="shared" si="51"/>
        <v>23120</v>
      </c>
      <c r="M180" s="55">
        <f>(0.75*(301)+0.25*(601))*(5/12)</f>
        <v>156.66666666666669</v>
      </c>
    </row>
    <row r="181" spans="2:13" ht="14.5" x14ac:dyDescent="0.35">
      <c r="B181" s="36" t="s">
        <v>107</v>
      </c>
      <c r="C181" s="36">
        <f t="shared" si="47"/>
        <v>10</v>
      </c>
      <c r="D181" s="38">
        <f t="shared" si="48"/>
        <v>1003.3333333333333</v>
      </c>
      <c r="E181" s="38">
        <f t="shared" si="50"/>
        <v>23120</v>
      </c>
      <c r="F181" s="45">
        <f>301*(4/12)</f>
        <v>100.33333333333333</v>
      </c>
      <c r="I181" s="36" t="s">
        <v>107</v>
      </c>
      <c r="J181" s="36">
        <f t="shared" si="49"/>
        <v>10</v>
      </c>
      <c r="K181" s="38">
        <f t="shared" si="46"/>
        <v>1253.3333333333333</v>
      </c>
      <c r="L181" s="38">
        <f t="shared" si="51"/>
        <v>23120</v>
      </c>
      <c r="M181" s="55">
        <f>(0.75*(301)+0.25*(601))*(4/12)</f>
        <v>125.33333333333333</v>
      </c>
    </row>
    <row r="182" spans="2:13" ht="14.5" x14ac:dyDescent="0.35">
      <c r="B182" s="36" t="s">
        <v>108</v>
      </c>
      <c r="C182" s="36">
        <f t="shared" si="47"/>
        <v>10</v>
      </c>
      <c r="D182" s="38">
        <f t="shared" si="48"/>
        <v>752.5</v>
      </c>
      <c r="E182" s="38">
        <f t="shared" si="50"/>
        <v>23120</v>
      </c>
      <c r="F182" s="45">
        <f>301*(3/12)</f>
        <v>75.25</v>
      </c>
      <c r="I182" s="36" t="s">
        <v>108</v>
      </c>
      <c r="J182" s="36">
        <f t="shared" si="49"/>
        <v>10</v>
      </c>
      <c r="K182" s="38">
        <f t="shared" si="46"/>
        <v>940</v>
      </c>
      <c r="L182" s="38">
        <f t="shared" si="51"/>
        <v>23120</v>
      </c>
      <c r="M182" s="55">
        <f>(0.75*(301)+0.25*(601))*(3/12)</f>
        <v>94</v>
      </c>
    </row>
    <row r="183" spans="2:13" ht="14.5" x14ac:dyDescent="0.35">
      <c r="B183" s="36" t="s">
        <v>109</v>
      </c>
      <c r="C183" s="36">
        <f t="shared" si="47"/>
        <v>10</v>
      </c>
      <c r="D183" s="38">
        <f t="shared" si="48"/>
        <v>501.66666666666663</v>
      </c>
      <c r="E183" s="38">
        <f t="shared" si="50"/>
        <v>23120</v>
      </c>
      <c r="F183" s="45">
        <f>301*(2/12)</f>
        <v>50.166666666666664</v>
      </c>
      <c r="I183" s="36" t="s">
        <v>109</v>
      </c>
      <c r="J183" s="36">
        <f t="shared" si="49"/>
        <v>10</v>
      </c>
      <c r="K183" s="38">
        <f t="shared" si="46"/>
        <v>626.66666666666663</v>
      </c>
      <c r="L183" s="38">
        <f t="shared" si="51"/>
        <v>23120</v>
      </c>
      <c r="M183" s="55">
        <f>(0.75*(301)+0.25*(601))*(2/12)</f>
        <v>62.666666666666664</v>
      </c>
    </row>
    <row r="184" spans="2:13" ht="14.5" x14ac:dyDescent="0.35">
      <c r="B184" s="36" t="s">
        <v>110</v>
      </c>
      <c r="C184" s="36">
        <f t="shared" si="47"/>
        <v>10</v>
      </c>
      <c r="D184" s="38">
        <f t="shared" si="48"/>
        <v>250.83333333333331</v>
      </c>
      <c r="E184" s="38">
        <f t="shared" si="50"/>
        <v>23120</v>
      </c>
      <c r="F184" s="45">
        <f>301*(1/12)</f>
        <v>25.083333333333332</v>
      </c>
      <c r="I184" s="36" t="s">
        <v>110</v>
      </c>
      <c r="J184" s="36">
        <f t="shared" si="49"/>
        <v>10</v>
      </c>
      <c r="K184" s="38">
        <f t="shared" si="46"/>
        <v>313.33333333333331</v>
      </c>
      <c r="L184" s="38">
        <f t="shared" si="51"/>
        <v>23120</v>
      </c>
      <c r="M184" s="55">
        <f>(0.75*(301)+0.25*(601))*(1/12)</f>
        <v>31.333333333333332</v>
      </c>
    </row>
    <row r="185" spans="2:13" ht="13" x14ac:dyDescent="0.3">
      <c r="B185" s="37" t="s">
        <v>111</v>
      </c>
      <c r="C185" s="37">
        <f>SUM(C173:C184)</f>
        <v>170</v>
      </c>
      <c r="D185" s="39">
        <f>SUM(D173:D184)</f>
        <v>34615</v>
      </c>
      <c r="E185" s="39">
        <f>SUM(E173:E184)</f>
        <v>277440</v>
      </c>
      <c r="I185" s="37" t="s">
        <v>111</v>
      </c>
      <c r="J185" s="37">
        <f>SUM(J173:J184)</f>
        <v>170</v>
      </c>
      <c r="K185" s="39">
        <f>SUM(K173:K184)</f>
        <v>44459.166666666664</v>
      </c>
      <c r="L185" s="39">
        <f>SUM(L173:L184)</f>
        <v>277440</v>
      </c>
    </row>
    <row r="186" spans="2:13" ht="13" x14ac:dyDescent="0.3">
      <c r="B186" s="37" t="s">
        <v>112</v>
      </c>
      <c r="C186" s="37"/>
      <c r="D186" s="39">
        <f>D185+E185</f>
        <v>312055</v>
      </c>
      <c r="I186" s="37" t="s">
        <v>112</v>
      </c>
      <c r="J186" s="37"/>
      <c r="K186" s="39">
        <f>K185+L185</f>
        <v>321899.16666666669</v>
      </c>
    </row>
    <row r="189" spans="2:13" ht="13" x14ac:dyDescent="0.3">
      <c r="G189" s="40" t="s">
        <v>123</v>
      </c>
      <c r="H189" s="41"/>
      <c r="I189" s="41"/>
      <c r="J189" s="41"/>
    </row>
    <row r="190" spans="2:13" ht="13" x14ac:dyDescent="0.3">
      <c r="G190" s="42" t="s">
        <v>124</v>
      </c>
      <c r="H190" s="41"/>
      <c r="I190" s="41"/>
      <c r="J190" s="41"/>
    </row>
  </sheetData>
  <mergeCells count="58">
    <mergeCell ref="B3:L3"/>
    <mergeCell ref="B1:L1"/>
    <mergeCell ref="D6:E6"/>
    <mergeCell ref="D5:E5"/>
    <mergeCell ref="B169:D169"/>
    <mergeCell ref="I169:K169"/>
    <mergeCell ref="B129:D129"/>
    <mergeCell ref="I129:K129"/>
    <mergeCell ref="B130:D130"/>
    <mergeCell ref="I130:K130"/>
    <mergeCell ref="B131:D131"/>
    <mergeCell ref="I131:K131"/>
    <mergeCell ref="B109:D109"/>
    <mergeCell ref="I109:K109"/>
    <mergeCell ref="B110:D110"/>
    <mergeCell ref="I110:K110"/>
    <mergeCell ref="B170:D170"/>
    <mergeCell ref="I170:K170"/>
    <mergeCell ref="B171:D171"/>
    <mergeCell ref="I171:K171"/>
    <mergeCell ref="B149:D149"/>
    <mergeCell ref="I149:K149"/>
    <mergeCell ref="B150:D150"/>
    <mergeCell ref="I150:K150"/>
    <mergeCell ref="B151:D151"/>
    <mergeCell ref="I151:K151"/>
    <mergeCell ref="B111:D111"/>
    <mergeCell ref="I111:K111"/>
    <mergeCell ref="B89:D89"/>
    <mergeCell ref="I89:K89"/>
    <mergeCell ref="B90:D90"/>
    <mergeCell ref="I90:K90"/>
    <mergeCell ref="B91:D91"/>
    <mergeCell ref="I91:K91"/>
    <mergeCell ref="B69:D69"/>
    <mergeCell ref="I69:K69"/>
    <mergeCell ref="B70:D70"/>
    <mergeCell ref="I70:K70"/>
    <mergeCell ref="B71:D71"/>
    <mergeCell ref="I71:K71"/>
    <mergeCell ref="B49:D49"/>
    <mergeCell ref="I49:K49"/>
    <mergeCell ref="B50:D50"/>
    <mergeCell ref="I50:K50"/>
    <mergeCell ref="B51:D51"/>
    <mergeCell ref="I51:K51"/>
    <mergeCell ref="B29:D29"/>
    <mergeCell ref="I29:K29"/>
    <mergeCell ref="B30:D30"/>
    <mergeCell ref="I30:K30"/>
    <mergeCell ref="B31:D31"/>
    <mergeCell ref="I31:K31"/>
    <mergeCell ref="B9:D9"/>
    <mergeCell ref="I9:K9"/>
    <mergeCell ref="B10:D10"/>
    <mergeCell ref="I10:K10"/>
    <mergeCell ref="B11:D11"/>
    <mergeCell ref="I11:K11"/>
  </mergeCells>
  <pageMargins left="0.7" right="0.7" top="0.75" bottom="0.75" header="0.3" footer="0.3"/>
  <pageSetup orientation="portrait" r:id="rId1"/>
  <rowBreaks count="5" manualBreakCount="5">
    <brk id="8" max="16383" man="1"/>
    <brk id="47" max="16383" man="1"/>
    <brk id="87" max="16383" man="1"/>
    <brk id="128" max="16383" man="1"/>
    <brk id="16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65466c2-14d4-442a-b0b8-af94d026ebc3">
      <Terms xmlns="http://schemas.microsoft.com/office/infopath/2007/PartnerControls"/>
    </lcf76f155ced4ddcb4097134ff3c332f>
    <TaxCatchAll xmlns="b9168a8f-61a9-4927-8e4d-cebe949d40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BBE6EB84782D4C9DBC91A0FAEF38E9" ma:contentTypeVersion="16" ma:contentTypeDescription="Create a new document." ma:contentTypeScope="" ma:versionID="625b36b141a134fa9d0451fad46dbcef">
  <xsd:schema xmlns:xsd="http://www.w3.org/2001/XMLSchema" xmlns:xs="http://www.w3.org/2001/XMLSchema" xmlns:p="http://schemas.microsoft.com/office/2006/metadata/properties" xmlns:ns2="965466c2-14d4-442a-b0b8-af94d026ebc3" xmlns:ns3="b9168a8f-61a9-4927-8e4d-cebe949d4095" targetNamespace="http://schemas.microsoft.com/office/2006/metadata/properties" ma:root="true" ma:fieldsID="176b55d178a7d8f79dfdcd83801b45f2" ns2:_="" ns3:_="">
    <xsd:import namespace="965466c2-14d4-442a-b0b8-af94d026ebc3"/>
    <xsd:import namespace="b9168a8f-61a9-4927-8e4d-cebe949d40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5466c2-14d4-442a-b0b8-af94d026eb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dfdc2fd-2f36-4f9e-948f-9560e2d5b1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168a8f-61a9-4927-8e4d-cebe949d409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6daa28d-1025-4355-8717-494e1a8e7606}" ma:internalName="TaxCatchAll" ma:showField="CatchAllData" ma:web="b9168a8f-61a9-4927-8e4d-cebe949d40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A25E11-E3D5-42F4-A557-26129E5CDB07}">
  <ds:schemaRef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b9168a8f-61a9-4927-8e4d-cebe949d4095"/>
    <ds:schemaRef ds:uri="965466c2-14d4-442a-b0b8-af94d026ebc3"/>
    <ds:schemaRef ds:uri="http://purl.org/dc/terms/"/>
  </ds:schemaRefs>
</ds:datastoreItem>
</file>

<file path=customXml/itemProps2.xml><?xml version="1.0" encoding="utf-8"?>
<ds:datastoreItem xmlns:ds="http://schemas.openxmlformats.org/officeDocument/2006/customXml" ds:itemID="{EE571D0E-7CD5-4177-BFED-EF9837019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5466c2-14d4-442a-b0b8-af94d026ebc3"/>
    <ds:schemaRef ds:uri="b9168a8f-61a9-4927-8e4d-cebe949d4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E8EFF8-4F36-489E-AB3D-8D5974837E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Med Adv vs Med Sup Calc</vt:lpstr>
      <vt:lpstr>Potential 1st Year Calc</vt:lpstr>
      <vt:lpstr>Adding Cross Selling Calc</vt:lpstr>
      <vt:lpstr>Potential Residuals Calc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 Fyrster</dc:creator>
  <cp:keywords/>
  <dc:description/>
  <cp:lastModifiedBy>Isabel Vitale</cp:lastModifiedBy>
  <cp:revision/>
  <dcterms:created xsi:type="dcterms:W3CDTF">2019-07-15T15:45:58Z</dcterms:created>
  <dcterms:modified xsi:type="dcterms:W3CDTF">2022-08-23T15:12:17Z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0x0101004ABBE6EB84782D4C9DBC91A0FAEF38E9</vt:lpwstr>
  </property>
</Properties>
</file>